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 codeName="{E757BCB4-07E6-AE0B-56E0-F0EEF7A6E26C}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\\LANDISK-C397C1\disk2\22_ホームページ\R06_2\"/>
    </mc:Choice>
  </mc:AlternateContent>
  <xr:revisionPtr revIDLastSave="0" documentId="13_ncr:1_{753A4B46-C6BE-41AD-AFA5-CAF1724B8E76}" xr6:coauthVersionLast="47" xr6:coauthVersionMax="47" xr10:uidLastSave="{00000000-0000-0000-0000-000000000000}"/>
  <bookViews>
    <workbookView xWindow="1350" yWindow="310" windowWidth="15440" windowHeight="7000" firstSheet="8" activeTab="8" xr2:uid="{00000000-000D-0000-FFFF-FFFF00000000}"/>
  </bookViews>
  <sheets>
    <sheet name="R02予約" sheetId="5" state="hidden" r:id="rId1"/>
    <sheet name="R02記入履歴" sheetId="6" state="hidden" r:id="rId2"/>
    <sheet name="R03予約" sheetId="2" state="hidden" r:id="rId3"/>
    <sheet name="R03記入履歴" sheetId="3" state="hidden" r:id="rId4"/>
    <sheet name="R04予約" sheetId="7" state="hidden" r:id="rId5"/>
    <sheet name="R04記入履歴" sheetId="8" state="hidden" r:id="rId6"/>
    <sheet name="R05予約" sheetId="9" state="hidden" r:id="rId7"/>
    <sheet name="R05記入履歴" sheetId="10" state="hidden" r:id="rId8"/>
    <sheet name="R06予約" sheetId="11" r:id="rId9"/>
    <sheet name="R06記入履歴" sheetId="12" r:id="rId10"/>
    <sheet name="設定注意" sheetId="4" r:id="rId11"/>
  </sheets>
  <externalReferences>
    <externalReference r:id="rId12"/>
  </externalReferences>
  <definedNames>
    <definedName name="_xlnm._FilterDatabase" localSheetId="1" hidden="1">'R02記入履歴'!$A$2:$I$860</definedName>
    <definedName name="_xlnm._FilterDatabase" localSheetId="3" hidden="1">'R03記入履歴'!$A$2:$W$606</definedName>
    <definedName name="_xlnm._FilterDatabase" localSheetId="5" hidden="1">'R04記入履歴'!$A$2:$W$706</definedName>
    <definedName name="_xlnm._FilterDatabase" localSheetId="4" hidden="1">'R04予約'!$I$3:$W$11</definedName>
    <definedName name="_xlnm._FilterDatabase" localSheetId="7" hidden="1">'R05記入履歴'!$A$2:$W$729</definedName>
    <definedName name="_xlnm._FilterDatabase" localSheetId="6" hidden="1">'R05予約'!$A$5:$BS$12</definedName>
    <definedName name="_xlnm._FilterDatabase" localSheetId="9" hidden="1">'R06記入履歴'!$A$2:$T$2</definedName>
    <definedName name="_xlnm._FilterDatabase" localSheetId="8" hidden="1">'R06予約'!$A$5:$BS$12</definedName>
    <definedName name="ガス">[1]H30記入履歴!#REF!</definedName>
    <definedName name="フォーク">[1]H30記入履歴!#REF!</definedName>
    <definedName name="玉掛">[1]H30記入履歴!#REF!</definedName>
    <definedName name="高所">[1]H30記入履歴!#REF!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0" i="11" l="1"/>
  <c r="M90" i="11"/>
  <c r="J90" i="11"/>
  <c r="F90" i="11"/>
  <c r="I88" i="11"/>
  <c r="G88" i="11" s="1"/>
  <c r="I87" i="11"/>
  <c r="G87" i="11"/>
  <c r="I86" i="11"/>
  <c r="G86" i="11" s="1"/>
  <c r="I84" i="11"/>
  <c r="G84" i="11" s="1"/>
  <c r="I83" i="11"/>
  <c r="G83" i="11" s="1"/>
  <c r="I82" i="11"/>
  <c r="G82" i="11"/>
  <c r="Z81" i="11"/>
  <c r="Y81" i="11"/>
  <c r="P79" i="11"/>
  <c r="M79" i="11"/>
  <c r="J79" i="11"/>
  <c r="F79" i="11"/>
  <c r="I77" i="11"/>
  <c r="G77" i="11" s="1"/>
  <c r="I76" i="11"/>
  <c r="G76" i="11" s="1"/>
  <c r="I75" i="11"/>
  <c r="G75" i="11"/>
  <c r="I73" i="11"/>
  <c r="G73" i="11" s="1"/>
  <c r="I72" i="11"/>
  <c r="G72" i="11"/>
  <c r="I71" i="11"/>
  <c r="G71" i="11" s="1"/>
  <c r="Z70" i="11"/>
  <c r="Y70" i="11"/>
  <c r="P36" i="11"/>
  <c r="K15" i="11"/>
  <c r="L15" i="11"/>
  <c r="Q15" i="11"/>
  <c r="J31" i="11"/>
  <c r="O15" i="11"/>
  <c r="M55" i="11"/>
  <c r="J55" i="11"/>
  <c r="G90" i="11" l="1"/>
  <c r="G79" i="11"/>
  <c r="N14" i="11"/>
  <c r="J39" i="11" l="1"/>
  <c r="P32" i="11"/>
  <c r="Q6" i="11"/>
  <c r="M36" i="11"/>
  <c r="K14" i="11"/>
  <c r="Y59" i="11"/>
  <c r="G68" i="11"/>
  <c r="F68" i="11"/>
  <c r="F78" i="9"/>
  <c r="P54" i="9"/>
  <c r="P39" i="11"/>
  <c r="K18" i="9"/>
  <c r="P31" i="11"/>
  <c r="Q7" i="11"/>
  <c r="P65" i="9"/>
  <c r="P70" i="9"/>
  <c r="W15" i="11"/>
  <c r="M18" i="9"/>
  <c r="P53" i="9" l="1"/>
  <c r="P64" i="9"/>
  <c r="Q18" i="9"/>
  <c r="W18" i="9"/>
  <c r="J55" i="9"/>
  <c r="M55" i="9"/>
  <c r="L10" i="9"/>
  <c r="X10" i="9"/>
  <c r="I55" i="11"/>
  <c r="G55" i="11" s="1"/>
  <c r="I53" i="11"/>
  <c r="G53" i="11" s="1"/>
  <c r="U4" i="9" l="1"/>
  <c r="T4" i="9"/>
  <c r="S4" i="9"/>
  <c r="O10" i="9" l="1"/>
  <c r="R10" i="9"/>
  <c r="P35" i="9"/>
  <c r="J53" i="9"/>
  <c r="M53" i="9"/>
  <c r="M64" i="9"/>
  <c r="M60" i="9"/>
  <c r="P78" i="9"/>
  <c r="M78" i="9"/>
  <c r="J78" i="9"/>
  <c r="I76" i="9"/>
  <c r="G76" i="9" s="1"/>
  <c r="I75" i="9"/>
  <c r="G75" i="9" s="1"/>
  <c r="I74" i="9"/>
  <c r="G74" i="9" s="1"/>
  <c r="G78" i="9" s="1"/>
  <c r="I72" i="9"/>
  <c r="G72" i="9" s="1"/>
  <c r="I71" i="9"/>
  <c r="G71" i="9" s="1"/>
  <c r="I70" i="9"/>
  <c r="G70" i="9" s="1"/>
  <c r="I54" i="9"/>
  <c r="G54" i="9" s="1"/>
  <c r="P68" i="11"/>
  <c r="M68" i="11"/>
  <c r="J68" i="11"/>
  <c r="I66" i="11"/>
  <c r="G66" i="11" s="1"/>
  <c r="I65" i="11"/>
  <c r="G65" i="11" s="1"/>
  <c r="I64" i="11"/>
  <c r="G64" i="11" s="1"/>
  <c r="I62" i="11"/>
  <c r="G62" i="11" s="1"/>
  <c r="I61" i="11"/>
  <c r="G61" i="11" s="1"/>
  <c r="I60" i="11"/>
  <c r="G60" i="11" s="1"/>
  <c r="J42" i="9"/>
  <c r="P55" i="9"/>
  <c r="J35" i="9" l="1"/>
  <c r="P67" i="9"/>
  <c r="M67" i="9"/>
  <c r="J67" i="9"/>
  <c r="I59" i="9"/>
  <c r="G59" i="9" s="1"/>
  <c r="I60" i="9"/>
  <c r="G60" i="9" s="1"/>
  <c r="I61" i="9"/>
  <c r="G61" i="9" s="1"/>
  <c r="I63" i="9"/>
  <c r="G63" i="9" s="1"/>
  <c r="I64" i="9"/>
  <c r="G64" i="9" s="1"/>
  <c r="I65" i="9"/>
  <c r="G65" i="9" s="1"/>
  <c r="M35" i="9"/>
  <c r="G13" i="11"/>
  <c r="I13" i="11"/>
  <c r="Z38" i="11"/>
  <c r="Y38" i="11"/>
  <c r="Z26" i="11"/>
  <c r="Y26" i="11"/>
  <c r="Z13" i="11"/>
  <c r="Y13" i="11"/>
  <c r="M38" i="11"/>
  <c r="P38" i="11"/>
  <c r="M26" i="11"/>
  <c r="P26" i="11"/>
  <c r="J38" i="11"/>
  <c r="J26" i="11"/>
  <c r="Y57" i="11"/>
  <c r="M57" i="11"/>
  <c r="P57" i="11"/>
  <c r="J57" i="11"/>
  <c r="U4" i="11"/>
  <c r="T4" i="11"/>
  <c r="S4" i="11"/>
  <c r="Z57" i="11"/>
  <c r="Z59" i="11" s="1"/>
  <c r="I56" i="11"/>
  <c r="G56" i="11" s="1"/>
  <c r="I54" i="11"/>
  <c r="G54" i="11" s="1"/>
  <c r="I51" i="11"/>
  <c r="I50" i="11"/>
  <c r="G50" i="11" s="1"/>
  <c r="I49" i="11"/>
  <c r="G49" i="11" s="1"/>
  <c r="I48" i="11"/>
  <c r="G48" i="11" s="1"/>
  <c r="I47" i="11"/>
  <c r="G47" i="11" s="1"/>
  <c r="I46" i="11"/>
  <c r="G46" i="11" s="1"/>
  <c r="I45" i="11"/>
  <c r="G45" i="11" s="1"/>
  <c r="C45" i="11"/>
  <c r="I44" i="11"/>
  <c r="G44" i="11" s="1"/>
  <c r="C44" i="11"/>
  <c r="I43" i="11"/>
  <c r="G43" i="11" s="1"/>
  <c r="C43" i="11"/>
  <c r="I42" i="11"/>
  <c r="G42" i="11" s="1"/>
  <c r="I41" i="11"/>
  <c r="G41" i="11" s="1"/>
  <c r="I40" i="11"/>
  <c r="G40" i="11" s="1"/>
  <c r="I39" i="11"/>
  <c r="G39" i="11" s="1"/>
  <c r="I36" i="11"/>
  <c r="G36" i="11" s="1"/>
  <c r="I35" i="11"/>
  <c r="G35" i="11" s="1"/>
  <c r="I33" i="11"/>
  <c r="G33" i="11" s="1"/>
  <c r="I31" i="11"/>
  <c r="G31" i="11" s="1"/>
  <c r="G30" i="11"/>
  <c r="C30" i="11"/>
  <c r="I29" i="11"/>
  <c r="G29" i="11" s="1"/>
  <c r="C29" i="11"/>
  <c r="I28" i="11"/>
  <c r="G28" i="11" s="1"/>
  <c r="C28" i="11"/>
  <c r="G25" i="11"/>
  <c r="C25" i="11"/>
  <c r="G24" i="11"/>
  <c r="C24" i="11"/>
  <c r="I23" i="11"/>
  <c r="C23" i="11"/>
  <c r="C22" i="11"/>
  <c r="I20" i="11"/>
  <c r="G20" i="11" s="1"/>
  <c r="C20" i="11"/>
  <c r="I19" i="11"/>
  <c r="G19" i="11" s="1"/>
  <c r="C19" i="11"/>
  <c r="I18" i="11"/>
  <c r="G18" i="11" s="1"/>
  <c r="C18" i="11"/>
  <c r="I15" i="11"/>
  <c r="G15" i="11" s="1"/>
  <c r="G12" i="11"/>
  <c r="C12" i="11"/>
  <c r="I11" i="11"/>
  <c r="G11" i="11" s="1"/>
  <c r="C11" i="11"/>
  <c r="I10" i="11"/>
  <c r="G10" i="11" s="1"/>
  <c r="C10" i="11"/>
  <c r="I9" i="11"/>
  <c r="G9" i="11" s="1"/>
  <c r="C9" i="11"/>
  <c r="X4" i="11"/>
  <c r="W4" i="11"/>
  <c r="V4" i="11"/>
  <c r="R4" i="11"/>
  <c r="Q4" i="11"/>
  <c r="P4" i="11"/>
  <c r="O4" i="11"/>
  <c r="N4" i="11"/>
  <c r="M4" i="11"/>
  <c r="L4" i="11"/>
  <c r="K4" i="11"/>
  <c r="J4" i="11"/>
  <c r="M42" i="9"/>
  <c r="I53" i="9" l="1"/>
  <c r="G53" i="9" s="1"/>
  <c r="I55" i="9"/>
  <c r="G55" i="9" s="1"/>
  <c r="I6" i="11"/>
  <c r="G6" i="11" s="1"/>
  <c r="I22" i="11"/>
  <c r="G22" i="11" s="1"/>
  <c r="I8" i="11"/>
  <c r="G8" i="11" s="1"/>
  <c r="G51" i="11"/>
  <c r="I17" i="11"/>
  <c r="G17" i="11" s="1"/>
  <c r="I34" i="11"/>
  <c r="G34" i="11" s="1"/>
  <c r="I32" i="11"/>
  <c r="G32" i="11" s="1"/>
  <c r="I14" i="11"/>
  <c r="G14" i="11" s="1"/>
  <c r="I37" i="11"/>
  <c r="G37" i="11" s="1"/>
  <c r="I7" i="11"/>
  <c r="G7" i="11" s="1"/>
  <c r="I16" i="11"/>
  <c r="I52" i="11"/>
  <c r="G52" i="11" s="1"/>
  <c r="P42" i="9"/>
  <c r="J52" i="9"/>
  <c r="V52" i="9"/>
  <c r="P52" i="9"/>
  <c r="M52" i="9"/>
  <c r="L9" i="9"/>
  <c r="J48" i="9" l="1"/>
  <c r="O9" i="9" l="1"/>
  <c r="J34" i="9"/>
  <c r="I52" i="9"/>
  <c r="M48" i="9"/>
  <c r="R9" i="9" l="1"/>
  <c r="P34" i="9"/>
  <c r="P37" i="9"/>
  <c r="J50" i="9"/>
  <c r="J37" i="9"/>
  <c r="M34" i="9"/>
  <c r="K17" i="9"/>
  <c r="P50" i="9"/>
  <c r="J51" i="9"/>
  <c r="Q17" i="9"/>
  <c r="M37" i="9"/>
  <c r="N17" i="9"/>
  <c r="L8" i="9"/>
  <c r="M51" i="9"/>
  <c r="F51" i="9"/>
  <c r="R8" i="9" l="1"/>
  <c r="O8" i="9"/>
  <c r="P33" i="9" l="1"/>
  <c r="M33" i="9"/>
  <c r="K16" i="9"/>
  <c r="N16" i="9"/>
  <c r="W17" i="9" l="1"/>
  <c r="W16" i="9"/>
  <c r="Q16" i="9" l="1"/>
  <c r="P41" i="9" l="1"/>
  <c r="G52" i="9" l="1"/>
  <c r="J49" i="9"/>
  <c r="J36" i="9"/>
  <c r="M36" i="9"/>
  <c r="P32" i="9"/>
  <c r="P49" i="9"/>
  <c r="M47" i="9"/>
  <c r="J40" i="9"/>
  <c r="K15" i="9"/>
  <c r="Q15" i="9"/>
  <c r="P36" i="9"/>
  <c r="M32" i="9"/>
  <c r="P51" i="9" l="1"/>
  <c r="I51" i="9" s="1"/>
  <c r="J32" i="9"/>
  <c r="M40" i="9" l="1"/>
  <c r="N15" i="9"/>
  <c r="J47" i="9"/>
  <c r="W15" i="9" l="1"/>
  <c r="O7" i="9"/>
  <c r="L7" i="9"/>
  <c r="R7" i="9" l="1"/>
  <c r="K14" i="9"/>
  <c r="N14" i="9" l="1"/>
  <c r="M14" i="9" l="1"/>
  <c r="P40" i="9" l="1"/>
  <c r="J46" i="9"/>
  <c r="X7" i="9" l="1"/>
  <c r="G51" i="9" l="1"/>
  <c r="J22" i="9" l="1"/>
  <c r="P31" i="9"/>
  <c r="Q22" i="9"/>
  <c r="J39" i="9"/>
  <c r="J31" i="9"/>
  <c r="P39" i="9" l="1"/>
  <c r="R6" i="9"/>
  <c r="L6" i="9"/>
  <c r="O6" i="9" l="1"/>
  <c r="X6" i="9"/>
  <c r="M31" i="9" l="1"/>
  <c r="Q18" i="7" l="1"/>
  <c r="K18" i="7" l="1"/>
  <c r="J6" i="9"/>
  <c r="L10" i="7" l="1"/>
  <c r="N18" i="7"/>
  <c r="U10" i="7" l="1"/>
  <c r="P35" i="7"/>
  <c r="M45" i="7"/>
  <c r="K10" i="7"/>
  <c r="J35" i="7"/>
  <c r="O10" i="7"/>
  <c r="J45" i="7" l="1"/>
  <c r="J10" i="7"/>
  <c r="R10" i="7" l="1"/>
  <c r="L9" i="7" l="1"/>
  <c r="U9" i="7"/>
  <c r="Z56" i="9" l="1"/>
  <c r="Z58" i="9" s="1"/>
  <c r="Z69" i="9" s="1"/>
  <c r="I50" i="9"/>
  <c r="G50" i="9" s="1"/>
  <c r="I49" i="9"/>
  <c r="G49" i="9" s="1"/>
  <c r="I48" i="9"/>
  <c r="G48" i="9" s="1"/>
  <c r="I47" i="9"/>
  <c r="G47" i="9" s="1"/>
  <c r="I46" i="9"/>
  <c r="G46" i="9" s="1"/>
  <c r="I45" i="9"/>
  <c r="G45" i="9" s="1"/>
  <c r="C45" i="9"/>
  <c r="I44" i="9"/>
  <c r="G44" i="9" s="1"/>
  <c r="C44" i="9"/>
  <c r="I43" i="9"/>
  <c r="G43" i="9" s="1"/>
  <c r="C43" i="9"/>
  <c r="I42" i="9"/>
  <c r="G42" i="9" s="1"/>
  <c r="I41" i="9"/>
  <c r="G41" i="9" s="1"/>
  <c r="I40" i="9"/>
  <c r="G40" i="9" s="1"/>
  <c r="I39" i="9"/>
  <c r="G39" i="9" s="1"/>
  <c r="I37" i="9"/>
  <c r="G37" i="9" s="1"/>
  <c r="I36" i="9"/>
  <c r="G36" i="9" s="1"/>
  <c r="I35" i="9"/>
  <c r="G35" i="9" s="1"/>
  <c r="I34" i="9"/>
  <c r="G34" i="9" s="1"/>
  <c r="I33" i="9"/>
  <c r="G33" i="9" s="1"/>
  <c r="I32" i="9"/>
  <c r="G32" i="9" s="1"/>
  <c r="I31" i="9"/>
  <c r="G31" i="9" s="1"/>
  <c r="G30" i="9"/>
  <c r="C30" i="9"/>
  <c r="I29" i="9"/>
  <c r="G29" i="9" s="1"/>
  <c r="C29" i="9"/>
  <c r="I28" i="9"/>
  <c r="G28" i="9" s="1"/>
  <c r="C28" i="9"/>
  <c r="G25" i="9"/>
  <c r="C25" i="9"/>
  <c r="G24" i="9"/>
  <c r="C24" i="9"/>
  <c r="I23" i="9"/>
  <c r="C23" i="9"/>
  <c r="I22" i="9"/>
  <c r="G22" i="9" s="1"/>
  <c r="I20" i="9"/>
  <c r="G20" i="9" s="1"/>
  <c r="C20" i="9"/>
  <c r="I19" i="9"/>
  <c r="G19" i="9" s="1"/>
  <c r="C19" i="9"/>
  <c r="I18" i="9"/>
  <c r="G18" i="9" s="1"/>
  <c r="I17" i="9"/>
  <c r="G17" i="9" s="1"/>
  <c r="I16" i="9"/>
  <c r="G16" i="9" s="1"/>
  <c r="I15" i="9"/>
  <c r="G15" i="9" s="1"/>
  <c r="I14" i="9"/>
  <c r="G14" i="9" s="1"/>
  <c r="G12" i="9"/>
  <c r="C12" i="9"/>
  <c r="I11" i="9"/>
  <c r="G11" i="9" s="1"/>
  <c r="C11" i="9"/>
  <c r="I10" i="9"/>
  <c r="G10" i="9" s="1"/>
  <c r="I9" i="9"/>
  <c r="G9" i="9" s="1"/>
  <c r="I8" i="9"/>
  <c r="G8" i="9" s="1"/>
  <c r="I7" i="9"/>
  <c r="G7" i="9" s="1"/>
  <c r="I6" i="9"/>
  <c r="X4" i="9"/>
  <c r="W4" i="9"/>
  <c r="V4" i="9"/>
  <c r="R4" i="9"/>
  <c r="Q4" i="9"/>
  <c r="P4" i="9"/>
  <c r="O4" i="9"/>
  <c r="N4" i="9"/>
  <c r="M4" i="9"/>
  <c r="L4" i="9"/>
  <c r="K4" i="9"/>
  <c r="J4" i="9"/>
  <c r="G6" i="9" l="1"/>
  <c r="R9" i="7"/>
  <c r="J37" i="7" l="1"/>
  <c r="J48" i="7" l="1"/>
  <c r="P34" i="7"/>
  <c r="K17" i="7"/>
  <c r="J34" i="7"/>
  <c r="M37" i="7"/>
  <c r="N17" i="7"/>
  <c r="P37" i="7"/>
  <c r="P48" i="7"/>
  <c r="M48" i="7"/>
  <c r="P50" i="7"/>
  <c r="K23" i="7"/>
  <c r="J23" i="7" l="1"/>
  <c r="T23" i="7"/>
  <c r="J50" i="7" l="1"/>
  <c r="K29" i="7"/>
  <c r="J44" i="7"/>
  <c r="M23" i="7"/>
  <c r="O8" i="7" l="1"/>
  <c r="R8" i="7"/>
  <c r="L8" i="7" l="1"/>
  <c r="T29" i="7"/>
  <c r="P44" i="7"/>
  <c r="K16" i="7"/>
  <c r="Q17" i="7" l="1"/>
  <c r="J33" i="7"/>
  <c r="M44" i="7"/>
  <c r="P33" i="7" l="1"/>
  <c r="Q16" i="7"/>
  <c r="N29" i="7" l="1"/>
  <c r="M29" i="7"/>
  <c r="M33" i="7"/>
  <c r="J43" i="7"/>
  <c r="N16" i="7"/>
  <c r="P43" i="7" l="1"/>
  <c r="J36" i="7"/>
  <c r="Q23" i="7"/>
  <c r="M36" i="7"/>
  <c r="P36" i="7"/>
  <c r="M42" i="7" l="1"/>
  <c r="J42" i="7"/>
  <c r="C43" i="7"/>
  <c r="P42" i="7"/>
  <c r="L7" i="7"/>
  <c r="R7" i="7"/>
  <c r="N15" i="7"/>
  <c r="K15" i="7"/>
  <c r="O7" i="7"/>
  <c r="J49" i="7"/>
  <c r="M47" i="7" l="1"/>
  <c r="P49" i="7"/>
  <c r="T15" i="7"/>
  <c r="Q15" i="7"/>
  <c r="J41" i="7"/>
  <c r="L15" i="7"/>
  <c r="J47" i="7"/>
  <c r="U7" i="7"/>
  <c r="I43" i="7"/>
  <c r="G43" i="7" s="1"/>
  <c r="P32" i="7" l="1"/>
  <c r="M41" i="7"/>
  <c r="K28" i="7"/>
  <c r="P41" i="7"/>
  <c r="J32" i="7"/>
  <c r="J46" i="7"/>
  <c r="M46" i="7"/>
  <c r="N28" i="7"/>
  <c r="N14" i="7" l="1"/>
  <c r="K14" i="7"/>
  <c r="J22" i="7"/>
  <c r="Q14" i="7"/>
  <c r="J40" i="7"/>
  <c r="P40" i="7"/>
  <c r="O14" i="7" l="1"/>
  <c r="L14" i="7" l="1"/>
  <c r="K22" i="7" l="1"/>
  <c r="J39" i="7" l="1"/>
  <c r="P46" i="7" l="1"/>
  <c r="K7" i="7" l="1"/>
  <c r="P31" i="7"/>
  <c r="F39" i="7"/>
  <c r="P39" i="7"/>
  <c r="M39" i="7"/>
  <c r="L6" i="7" l="1"/>
  <c r="F6" i="7"/>
  <c r="R6" i="7"/>
  <c r="K6" i="7"/>
  <c r="J31" i="7" l="1"/>
  <c r="K19" i="2" l="1"/>
  <c r="I23" i="7"/>
  <c r="I22" i="7"/>
  <c r="M44" i="2" l="1"/>
  <c r="J44" i="2"/>
  <c r="U6" i="7" l="1"/>
  <c r="N19" i="2"/>
  <c r="J19" i="2"/>
  <c r="J43" i="2" l="1"/>
  <c r="Q19" i="2"/>
  <c r="J35" i="2"/>
  <c r="I44" i="2" l="1"/>
  <c r="P35" i="2" l="1"/>
  <c r="J37" i="2"/>
  <c r="M35" i="2"/>
  <c r="P43" i="2"/>
  <c r="M43" i="2"/>
  <c r="K18" i="2"/>
  <c r="C40" i="7"/>
  <c r="W51" i="7"/>
  <c r="I50" i="7"/>
  <c r="G50" i="7" s="1"/>
  <c r="I49" i="7"/>
  <c r="G49" i="7" s="1"/>
  <c r="I48" i="7"/>
  <c r="G48" i="7" s="1"/>
  <c r="I47" i="7"/>
  <c r="G47" i="7" s="1"/>
  <c r="I46" i="7"/>
  <c r="G46" i="7" s="1"/>
  <c r="I45" i="7"/>
  <c r="G45" i="7" s="1"/>
  <c r="C45" i="7"/>
  <c r="I44" i="7"/>
  <c r="G44" i="7" s="1"/>
  <c r="C44" i="7"/>
  <c r="I42" i="7"/>
  <c r="G42" i="7" s="1"/>
  <c r="C42" i="7"/>
  <c r="I41" i="7"/>
  <c r="G41" i="7" s="1"/>
  <c r="C41" i="7"/>
  <c r="I40" i="7"/>
  <c r="G40" i="7" s="1"/>
  <c r="I39" i="7"/>
  <c r="G39" i="7" s="1"/>
  <c r="C39" i="7"/>
  <c r="I37" i="7"/>
  <c r="G37" i="7" s="1"/>
  <c r="C37" i="7"/>
  <c r="I36" i="7"/>
  <c r="G36" i="7" s="1"/>
  <c r="C36" i="7"/>
  <c r="I35" i="7"/>
  <c r="G35" i="7" s="1"/>
  <c r="I34" i="7"/>
  <c r="G34" i="7" s="1"/>
  <c r="I33" i="7"/>
  <c r="G33" i="7" s="1"/>
  <c r="I32" i="7"/>
  <c r="G32" i="7" s="1"/>
  <c r="I31" i="7"/>
  <c r="G31" i="7" s="1"/>
  <c r="G30" i="7"/>
  <c r="C30" i="7"/>
  <c r="I29" i="7"/>
  <c r="G29" i="7" s="1"/>
  <c r="C29" i="7"/>
  <c r="I28" i="7"/>
  <c r="G28" i="7" s="1"/>
  <c r="C28" i="7"/>
  <c r="G25" i="7"/>
  <c r="C25" i="7"/>
  <c r="G24" i="7"/>
  <c r="C24" i="7"/>
  <c r="G23" i="7"/>
  <c r="C23" i="7"/>
  <c r="G22" i="7"/>
  <c r="C22" i="7"/>
  <c r="I20" i="7"/>
  <c r="G20" i="7" s="1"/>
  <c r="C20" i="7"/>
  <c r="I19" i="7"/>
  <c r="G19" i="7" s="1"/>
  <c r="C19" i="7"/>
  <c r="I18" i="7"/>
  <c r="G18" i="7" s="1"/>
  <c r="C18" i="7"/>
  <c r="I17" i="7"/>
  <c r="G17" i="7" s="1"/>
  <c r="C17" i="7"/>
  <c r="I16" i="7"/>
  <c r="G16" i="7" s="1"/>
  <c r="C16" i="7"/>
  <c r="I15" i="7"/>
  <c r="G15" i="7" s="1"/>
  <c r="C15" i="7"/>
  <c r="I14" i="7"/>
  <c r="G14" i="7" s="1"/>
  <c r="C14" i="7"/>
  <c r="G12" i="7"/>
  <c r="C12" i="7"/>
  <c r="I11" i="7"/>
  <c r="G11" i="7" s="1"/>
  <c r="C11" i="7"/>
  <c r="I10" i="7"/>
  <c r="G10" i="7" s="1"/>
  <c r="C10" i="7"/>
  <c r="I9" i="7"/>
  <c r="G9" i="7" s="1"/>
  <c r="C9" i="7"/>
  <c r="I8" i="7"/>
  <c r="G8" i="7" s="1"/>
  <c r="C8" i="7"/>
  <c r="I7" i="7"/>
  <c r="G7" i="7" s="1"/>
  <c r="C7" i="7"/>
  <c r="I6" i="7"/>
  <c r="G6" i="7" s="1"/>
  <c r="C6" i="7"/>
  <c r="U4" i="7"/>
  <c r="T4" i="7"/>
  <c r="S4" i="7"/>
  <c r="R4" i="7"/>
  <c r="Q4" i="7"/>
  <c r="P4" i="7"/>
  <c r="O4" i="7"/>
  <c r="N4" i="7"/>
  <c r="M4" i="7"/>
  <c r="L4" i="7"/>
  <c r="K4" i="7"/>
  <c r="J4" i="7"/>
  <c r="M37" i="2"/>
  <c r="N18" i="2"/>
  <c r="J10" i="2" l="1"/>
  <c r="N10" i="2"/>
  <c r="O10" i="2"/>
  <c r="R10" i="2"/>
  <c r="Q18" i="2"/>
  <c r="L10" i="2"/>
  <c r="J42" i="2"/>
  <c r="P34" i="2"/>
  <c r="J34" i="2"/>
  <c r="P42" i="2"/>
  <c r="M42" i="2" l="1"/>
  <c r="M34" i="2"/>
  <c r="K17" i="2"/>
  <c r="O9" i="2" l="1"/>
  <c r="J50" i="2"/>
  <c r="Q17" i="2" l="1"/>
  <c r="K9" i="2"/>
  <c r="J48" i="2"/>
  <c r="M48" i="2" l="1"/>
  <c r="N17" i="2" l="1"/>
  <c r="N9" i="2"/>
  <c r="K23" i="2"/>
  <c r="P50" i="2"/>
  <c r="L9" i="2"/>
  <c r="R9" i="2"/>
  <c r="K29" i="2"/>
  <c r="J23" i="2" l="1"/>
  <c r="J41" i="2"/>
  <c r="M41" i="2"/>
  <c r="J36" i="2"/>
  <c r="K16" i="2"/>
  <c r="J33" i="2"/>
  <c r="P33" i="2"/>
  <c r="N16" i="2" l="1"/>
  <c r="L17" i="2"/>
  <c r="J9" i="2" l="1"/>
  <c r="Q16" i="2"/>
  <c r="P41" i="2" l="1"/>
  <c r="O8" i="2" l="1"/>
  <c r="R8" i="2"/>
  <c r="N23" i="2"/>
  <c r="L8" i="2"/>
  <c r="Q15" i="2" l="1"/>
  <c r="K15" i="2"/>
  <c r="N15" i="2" l="1"/>
  <c r="M22" i="2" l="1"/>
  <c r="J47" i="2" l="1"/>
  <c r="P47" i="2"/>
  <c r="K22" i="2"/>
  <c r="K8" i="2"/>
  <c r="K7" i="2"/>
  <c r="J22" i="2"/>
  <c r="N22" i="2" l="1"/>
  <c r="U8" i="2" l="1"/>
  <c r="J7" i="2"/>
  <c r="P32" i="2"/>
  <c r="P49" i="2"/>
  <c r="M47" i="2"/>
  <c r="M7" i="2"/>
  <c r="J32" i="2"/>
  <c r="J49" i="2"/>
  <c r="J40" i="2"/>
  <c r="J39" i="2"/>
  <c r="K14" i="2"/>
  <c r="K28" i="2"/>
  <c r="J46" i="2" l="1"/>
  <c r="M32" i="2"/>
  <c r="J28" i="2"/>
  <c r="L7" i="2" l="1"/>
  <c r="I40" i="2" l="1"/>
  <c r="G40" i="2" s="1"/>
  <c r="M36" i="2"/>
  <c r="Q14" i="2" l="1"/>
  <c r="M46" i="2" l="1"/>
  <c r="P39" i="2"/>
  <c r="N14" i="2"/>
  <c r="M39" i="2" l="1"/>
  <c r="R14" i="2" l="1"/>
  <c r="O6" i="2"/>
  <c r="O7" i="2"/>
  <c r="R7" i="2" l="1"/>
  <c r="J31" i="2"/>
  <c r="L6" i="2" l="1"/>
  <c r="M31" i="2" l="1"/>
  <c r="K6" i="2" l="1"/>
  <c r="R6" i="2"/>
  <c r="P31" i="2" l="1"/>
  <c r="I14" i="2" l="1"/>
  <c r="G14" i="2" s="1"/>
  <c r="K20" i="5"/>
  <c r="I20" i="5" s="1"/>
  <c r="G20" i="5" s="1"/>
  <c r="M6" i="2"/>
  <c r="W50" i="5"/>
  <c r="P49" i="5"/>
  <c r="J49" i="5"/>
  <c r="I49" i="5" s="1"/>
  <c r="G49" i="5" s="1"/>
  <c r="P48" i="5"/>
  <c r="M48" i="5"/>
  <c r="J48" i="5"/>
  <c r="I48" i="5" s="1"/>
  <c r="G48" i="5" s="1"/>
  <c r="P47" i="5"/>
  <c r="M47" i="5"/>
  <c r="J47" i="5"/>
  <c r="I47" i="5" s="1"/>
  <c r="G47" i="5" s="1"/>
  <c r="P46" i="5"/>
  <c r="M46" i="5"/>
  <c r="J46" i="5"/>
  <c r="I46" i="5"/>
  <c r="G46" i="5"/>
  <c r="P45" i="5"/>
  <c r="M45" i="5"/>
  <c r="I45" i="5" s="1"/>
  <c r="G45" i="5" s="1"/>
  <c r="J45" i="5"/>
  <c r="J44" i="5"/>
  <c r="I44" i="5"/>
  <c r="G44" i="5"/>
  <c r="C44" i="5"/>
  <c r="P43" i="5"/>
  <c r="M43" i="5"/>
  <c r="J43" i="5"/>
  <c r="I43" i="5" s="1"/>
  <c r="G43" i="5" s="1"/>
  <c r="C43" i="5"/>
  <c r="P42" i="5"/>
  <c r="M42" i="5"/>
  <c r="J42" i="5"/>
  <c r="I42" i="5" s="1"/>
  <c r="G42" i="5" s="1"/>
  <c r="C42" i="5"/>
  <c r="P41" i="5"/>
  <c r="J41" i="5"/>
  <c r="I41" i="5"/>
  <c r="G41" i="5"/>
  <c r="C41" i="5"/>
  <c r="P40" i="5"/>
  <c r="I40" i="5"/>
  <c r="G40" i="5" s="1"/>
  <c r="C40" i="5"/>
  <c r="P39" i="5"/>
  <c r="J39" i="5"/>
  <c r="I39" i="5"/>
  <c r="G39" i="5" s="1"/>
  <c r="C39" i="5"/>
  <c r="P37" i="5"/>
  <c r="M37" i="5"/>
  <c r="J37" i="5"/>
  <c r="I37" i="5"/>
  <c r="F37" i="5"/>
  <c r="G37" i="5" s="1"/>
  <c r="C37" i="5"/>
  <c r="M36" i="5"/>
  <c r="J36" i="5"/>
  <c r="I36" i="5" s="1"/>
  <c r="G36" i="5" s="1"/>
  <c r="C36" i="5"/>
  <c r="P35" i="5"/>
  <c r="M35" i="5"/>
  <c r="J35" i="5"/>
  <c r="I35" i="5" s="1"/>
  <c r="G35" i="5" s="1"/>
  <c r="P34" i="5"/>
  <c r="M34" i="5"/>
  <c r="J34" i="5"/>
  <c r="I34" i="5"/>
  <c r="G34" i="5"/>
  <c r="P33" i="5"/>
  <c r="M33" i="5"/>
  <c r="J33" i="5"/>
  <c r="I33" i="5" s="1"/>
  <c r="G33" i="5" s="1"/>
  <c r="P32" i="5"/>
  <c r="J32" i="5"/>
  <c r="I32" i="5"/>
  <c r="G32" i="5" s="1"/>
  <c r="P31" i="5"/>
  <c r="M31" i="5"/>
  <c r="J31" i="5"/>
  <c r="I31" i="5"/>
  <c r="G31" i="5"/>
  <c r="G30" i="5"/>
  <c r="C30" i="5"/>
  <c r="Q29" i="5"/>
  <c r="I29" i="5" s="1"/>
  <c r="G29" i="5" s="1"/>
  <c r="K29" i="5"/>
  <c r="C29" i="5"/>
  <c r="Q28" i="5"/>
  <c r="I28" i="5"/>
  <c r="G28" i="5"/>
  <c r="C28" i="5"/>
  <c r="J25" i="5"/>
  <c r="I25" i="5"/>
  <c r="G25" i="5" s="1"/>
  <c r="C25" i="5"/>
  <c r="Q24" i="5"/>
  <c r="N24" i="5"/>
  <c r="M24" i="5"/>
  <c r="K24" i="5"/>
  <c r="I24" i="5" s="1"/>
  <c r="G24" i="5" s="1"/>
  <c r="J24" i="5"/>
  <c r="C24" i="5"/>
  <c r="N23" i="5"/>
  <c r="J23" i="5"/>
  <c r="I23" i="5"/>
  <c r="G23" i="5" s="1"/>
  <c r="C23" i="5"/>
  <c r="T22" i="5"/>
  <c r="M22" i="5"/>
  <c r="K22" i="5"/>
  <c r="J22" i="5"/>
  <c r="I22" i="5"/>
  <c r="G22" i="5"/>
  <c r="C22" i="5"/>
  <c r="Q20" i="5"/>
  <c r="N20" i="5"/>
  <c r="L20" i="5"/>
  <c r="C20" i="5"/>
  <c r="N19" i="5"/>
  <c r="I19" i="5" s="1"/>
  <c r="G19" i="5" s="1"/>
  <c r="K19" i="5"/>
  <c r="C19" i="5"/>
  <c r="T18" i="5"/>
  <c r="Q18" i="5"/>
  <c r="N18" i="5"/>
  <c r="K18" i="5"/>
  <c r="I18" i="5" s="1"/>
  <c r="G18" i="5" s="1"/>
  <c r="C18" i="5"/>
  <c r="Q17" i="5"/>
  <c r="N17" i="5"/>
  <c r="K17" i="5"/>
  <c r="I17" i="5"/>
  <c r="G17" i="5" s="1"/>
  <c r="C17" i="5"/>
  <c r="Q16" i="5"/>
  <c r="N16" i="5"/>
  <c r="K16" i="5"/>
  <c r="I16" i="5"/>
  <c r="G16" i="5"/>
  <c r="C16" i="5"/>
  <c r="Q15" i="5"/>
  <c r="N15" i="5"/>
  <c r="K15" i="5"/>
  <c r="I15" i="5" s="1"/>
  <c r="G15" i="5" s="1"/>
  <c r="C15" i="5"/>
  <c r="Q14" i="5"/>
  <c r="N14" i="5"/>
  <c r="L14" i="5"/>
  <c r="I14" i="5" s="1"/>
  <c r="G14" i="5" s="1"/>
  <c r="K14" i="5"/>
  <c r="C14" i="5"/>
  <c r="G12" i="5"/>
  <c r="C12" i="5"/>
  <c r="L11" i="5"/>
  <c r="I11" i="5"/>
  <c r="G11" i="5" s="1"/>
  <c r="C11" i="5"/>
  <c r="R10" i="5"/>
  <c r="O10" i="5"/>
  <c r="N10" i="5"/>
  <c r="L10" i="5"/>
  <c r="K10" i="5"/>
  <c r="I10" i="5"/>
  <c r="G10" i="5" s="1"/>
  <c r="C10" i="5"/>
  <c r="U9" i="5"/>
  <c r="R9" i="5"/>
  <c r="O9" i="5"/>
  <c r="N9" i="5"/>
  <c r="L9" i="5"/>
  <c r="I9" i="5"/>
  <c r="G9" i="5" s="1"/>
  <c r="C9" i="5"/>
  <c r="R8" i="5"/>
  <c r="O8" i="5"/>
  <c r="M8" i="5"/>
  <c r="L8" i="5"/>
  <c r="I8" i="5"/>
  <c r="G8" i="5"/>
  <c r="C8" i="5"/>
  <c r="R7" i="5"/>
  <c r="L7" i="5"/>
  <c r="K7" i="5"/>
  <c r="I7" i="5"/>
  <c r="G7" i="5"/>
  <c r="C7" i="5"/>
  <c r="U6" i="5"/>
  <c r="I6" i="5" s="1"/>
  <c r="G6" i="5" s="1"/>
  <c r="R6" i="5"/>
  <c r="O6" i="5"/>
  <c r="L6" i="5"/>
  <c r="K6" i="5"/>
  <c r="J6" i="5"/>
  <c r="C6" i="5"/>
  <c r="U4" i="5"/>
  <c r="T4" i="5"/>
  <c r="S4" i="5"/>
  <c r="R4" i="5"/>
  <c r="Q4" i="5"/>
  <c r="P4" i="5"/>
  <c r="O4" i="5"/>
  <c r="N4" i="5"/>
  <c r="M4" i="5"/>
  <c r="L4" i="5"/>
  <c r="K4" i="5"/>
  <c r="J4" i="5"/>
  <c r="W51" i="2"/>
  <c r="I50" i="2"/>
  <c r="G50" i="2" s="1"/>
  <c r="I49" i="2"/>
  <c r="G49" i="2" s="1"/>
  <c r="I48" i="2"/>
  <c r="G48" i="2" s="1"/>
  <c r="I47" i="2"/>
  <c r="G47" i="2" s="1"/>
  <c r="P46" i="2"/>
  <c r="I46" i="2" s="1"/>
  <c r="G46" i="2" s="1"/>
  <c r="I45" i="2"/>
  <c r="G45" i="2" s="1"/>
  <c r="C45" i="2"/>
  <c r="G44" i="2"/>
  <c r="C44" i="2"/>
  <c r="I43" i="2"/>
  <c r="G43" i="2" s="1"/>
  <c r="C43" i="2"/>
  <c r="I42" i="2"/>
  <c r="G42" i="2" s="1"/>
  <c r="C42" i="2"/>
  <c r="I41" i="2"/>
  <c r="G41" i="2" s="1"/>
  <c r="C41" i="2"/>
  <c r="I39" i="2"/>
  <c r="G39" i="2" s="1"/>
  <c r="C39" i="2"/>
  <c r="I37" i="2"/>
  <c r="G37" i="2" s="1"/>
  <c r="C37" i="2"/>
  <c r="I36" i="2"/>
  <c r="G36" i="2" s="1"/>
  <c r="C36" i="2"/>
  <c r="I35" i="2"/>
  <c r="G35" i="2" s="1"/>
  <c r="I34" i="2"/>
  <c r="G34" i="2" s="1"/>
  <c r="I33" i="2"/>
  <c r="G33" i="2" s="1"/>
  <c r="I32" i="2"/>
  <c r="G32" i="2" s="1"/>
  <c r="I31" i="2"/>
  <c r="G31" i="2" s="1"/>
  <c r="G30" i="2"/>
  <c r="C30" i="2"/>
  <c r="I29" i="2"/>
  <c r="G29" i="2" s="1"/>
  <c r="C29" i="2"/>
  <c r="I28" i="2"/>
  <c r="G28" i="2" s="1"/>
  <c r="C28" i="2"/>
  <c r="I25" i="2"/>
  <c r="G25" i="2" s="1"/>
  <c r="C25" i="2"/>
  <c r="I24" i="2"/>
  <c r="G24" i="2" s="1"/>
  <c r="C24" i="2"/>
  <c r="I23" i="2"/>
  <c r="G23" i="2" s="1"/>
  <c r="C23" i="2"/>
  <c r="I22" i="2"/>
  <c r="G22" i="2" s="1"/>
  <c r="C22" i="2"/>
  <c r="I20" i="2"/>
  <c r="G20" i="2" s="1"/>
  <c r="C20" i="2"/>
  <c r="I19" i="2"/>
  <c r="G19" i="2" s="1"/>
  <c r="C19" i="2"/>
  <c r="I18" i="2"/>
  <c r="G18" i="2" s="1"/>
  <c r="C18" i="2"/>
  <c r="I17" i="2"/>
  <c r="G17" i="2" s="1"/>
  <c r="C17" i="2"/>
  <c r="I16" i="2"/>
  <c r="G16" i="2" s="1"/>
  <c r="C16" i="2"/>
  <c r="I15" i="2"/>
  <c r="G15" i="2" s="1"/>
  <c r="C15" i="2"/>
  <c r="C14" i="2"/>
  <c r="G12" i="2"/>
  <c r="C12" i="2"/>
  <c r="I11" i="2"/>
  <c r="G11" i="2" s="1"/>
  <c r="C11" i="2"/>
  <c r="I10" i="2"/>
  <c r="G10" i="2" s="1"/>
  <c r="C10" i="2"/>
  <c r="I9" i="2"/>
  <c r="G9" i="2" s="1"/>
  <c r="C9" i="2"/>
  <c r="I8" i="2"/>
  <c r="G8" i="2" s="1"/>
  <c r="C8" i="2"/>
  <c r="I7" i="2"/>
  <c r="G7" i="2" s="1"/>
  <c r="C7" i="2"/>
  <c r="J6" i="2"/>
  <c r="C6" i="2"/>
  <c r="U4" i="2"/>
  <c r="T4" i="2"/>
  <c r="S4" i="2"/>
  <c r="R4" i="2"/>
  <c r="Q4" i="2"/>
  <c r="P4" i="2"/>
  <c r="O4" i="2"/>
  <c r="N4" i="2"/>
  <c r="M4" i="2"/>
  <c r="L4" i="2"/>
  <c r="K4" i="2"/>
  <c r="J4" i="2"/>
  <c r="I6" i="2" l="1"/>
  <c r="G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ichikawa</author>
    <author>市川直生</author>
    <author>PC USER</author>
  </authors>
  <commentList>
    <comment ref="L7" authorId="0" shapeId="0" xr:uid="{7021D777-CFD5-4F9E-933A-0864B06E1D8F}">
      <text>
        <r>
          <rPr>
            <b/>
            <sz val="9"/>
            <color indexed="81"/>
            <rFont val="MS P ゴシック"/>
            <family val="3"/>
            <charset val="128"/>
          </rPr>
          <t>うち2名は
6/1山家</t>
        </r>
      </text>
    </comment>
    <comment ref="F9" authorId="1" shapeId="0" xr:uid="{C66E2E2A-3825-4FDC-A497-97576E72FFA8}">
      <text>
        <r>
          <rPr>
            <b/>
            <sz val="9"/>
            <color indexed="81"/>
            <rFont val="MS P ゴシック"/>
            <family val="3"/>
            <charset val="128"/>
          </rPr>
          <t>8/18定員変更</t>
        </r>
      </text>
    </comment>
    <comment ref="F10" authorId="1" shapeId="0" xr:uid="{45423A9F-2636-433A-A31E-31A5763CF17A}">
      <text>
        <r>
          <rPr>
            <b/>
            <sz val="9"/>
            <color indexed="81"/>
            <rFont val="MS P ゴシック"/>
            <family val="3"/>
            <charset val="128"/>
          </rPr>
          <t>8/21定員変更</t>
        </r>
      </text>
    </comment>
    <comment ref="F18" authorId="1" shapeId="0" xr:uid="{61334826-48BD-4BBC-BE3C-683856E6EE23}">
      <text>
        <r>
          <rPr>
            <b/>
            <sz val="9"/>
            <color indexed="81"/>
            <rFont val="MS P ゴシック"/>
            <family val="3"/>
            <charset val="128"/>
          </rPr>
          <t>8/21定員変更
9/29増員要請
9/30 定員増</t>
        </r>
      </text>
    </comment>
    <comment ref="F19" authorId="0" shapeId="0" xr:uid="{BA22416C-AFF6-440C-A20E-956E47180FDC}">
      <text>
        <r>
          <rPr>
            <b/>
            <sz val="9"/>
            <color indexed="81"/>
            <rFont val="MS P ゴシック"/>
            <family val="3"/>
            <charset val="128"/>
          </rPr>
          <t>12/11
定員減30→20</t>
        </r>
      </text>
    </comment>
    <comment ref="F20" authorId="0" shapeId="0" xr:uid="{38814235-0AFC-4F5E-A62F-9FFDEFBCFB63}">
      <text>
        <r>
          <rPr>
            <b/>
            <sz val="9"/>
            <color indexed="81"/>
            <rFont val="MS P ゴシック"/>
            <family val="3"/>
            <charset val="128"/>
          </rPr>
          <t>ichikawa:</t>
        </r>
        <r>
          <rPr>
            <sz val="9"/>
            <color indexed="81"/>
            <rFont val="MS P ゴシック"/>
            <family val="3"/>
            <charset val="128"/>
          </rPr>
          <t xml:space="preserve">
1/19 定員増30→40
1/28 定員減40&gt;30</t>
        </r>
      </text>
    </comment>
    <comment ref="D25" authorId="0" shapeId="0" xr:uid="{AF7398D0-DCC6-422F-AA10-B29AB5BC229F}">
      <text>
        <r>
          <rPr>
            <b/>
            <sz val="9"/>
            <color indexed="81"/>
            <rFont val="MS P ゴシック"/>
            <family val="3"/>
            <charset val="128"/>
          </rPr>
          <t>12･10
金井部長の依頼で中止
直鞍OK田川OK</t>
        </r>
      </text>
    </comment>
    <comment ref="F29" authorId="1" shapeId="0" xr:uid="{3A95EC89-9313-4043-BAC9-53C87E1CD140}">
      <text>
        <r>
          <rPr>
            <b/>
            <sz val="9"/>
            <color indexed="81"/>
            <rFont val="MS P ゴシック"/>
            <family val="3"/>
            <charset val="128"/>
          </rPr>
          <t>8/21定員変更</t>
        </r>
      </text>
    </comment>
    <comment ref="F36" authorId="2" shapeId="0" xr:uid="{CD989448-BB3D-4085-8CCF-F3FA4FF940E0}">
      <text>
        <r>
          <rPr>
            <b/>
            <sz val="9"/>
            <color indexed="81"/>
            <rFont val="MS P ゴシック"/>
            <family val="3"/>
            <charset val="128"/>
          </rPr>
          <t>定員３０⇒４５
講師が２名になったので、
４５→３０</t>
        </r>
      </text>
    </comment>
    <comment ref="E39" authorId="2" shapeId="0" xr:uid="{9C5C863A-DFD2-4AAB-BC55-FB85D732ACFB}">
      <text>
        <r>
          <rPr>
            <b/>
            <sz val="9"/>
            <color indexed="81"/>
            <rFont val="MS P ゴシック"/>
            <family val="3"/>
            <charset val="128"/>
          </rPr>
          <t>中止</t>
        </r>
      </text>
    </comment>
    <comment ref="E40" authorId="2" shapeId="0" xr:uid="{5D2C0222-4BBD-4545-A832-B0C7A2A15DEA}">
      <text>
        <r>
          <rPr>
            <b/>
            <sz val="9"/>
            <color indexed="81"/>
            <rFont val="MS P ゴシック"/>
            <family val="3"/>
            <charset val="128"/>
          </rPr>
          <t>中止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ichikawa</author>
    <author>平野</author>
  </authors>
  <commentList>
    <comment ref="G10" authorId="0" shapeId="0" xr:uid="{2D1CB5B3-820B-40F6-8846-7287D824302C}">
      <text>
        <r>
          <rPr>
            <b/>
            <sz val="9"/>
            <color indexed="81"/>
            <rFont val="MS P ゴシック"/>
            <family val="3"/>
            <charset val="128"/>
          </rPr>
          <t>ichikawa:</t>
        </r>
        <r>
          <rPr>
            <sz val="9"/>
            <color indexed="81"/>
            <rFont val="MS P ゴシック"/>
            <family val="3"/>
            <charset val="128"/>
          </rPr>
          <t xml:space="preserve">
受付は12/20までで
〆切</t>
        </r>
      </text>
    </comment>
    <comment ref="D40" authorId="0" shapeId="0" xr:uid="{E05EC24D-6CA3-4913-9D15-94B71BC35782}">
      <text>
        <r>
          <rPr>
            <b/>
            <sz val="9"/>
            <color indexed="81"/>
            <rFont val="MS P ゴシック"/>
            <family val="3"/>
            <charset val="128"/>
          </rPr>
          <t>講習追加</t>
        </r>
      </text>
    </comment>
    <comment ref="D43" authorId="1" shapeId="0" xr:uid="{3157D035-1762-4DD7-9739-27EDADB712BD}">
      <text>
        <r>
          <rPr>
            <sz val="9"/>
            <color indexed="81"/>
            <rFont val="MS P ゴシック"/>
            <family val="3"/>
            <charset val="128"/>
          </rPr>
          <t xml:space="preserve">定員追加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平野</author>
    <author>ichikawa</author>
  </authors>
  <commentList>
    <comment ref="F10" authorId="0" shapeId="0" xr:uid="{870E0599-0BE3-4CDA-81DB-3837E388CDE9}">
      <text>
        <r>
          <rPr>
            <sz val="9"/>
            <color indexed="81"/>
            <rFont val="MS P ゴシック"/>
            <family val="3"/>
            <charset val="128"/>
          </rPr>
          <t xml:space="preserve">2/7　40→30
桐山様より電話
</t>
        </r>
      </text>
    </comment>
    <comment ref="F15" authorId="1" shapeId="0" xr:uid="{EFD0E618-440C-408C-8DB5-F1571DE305C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4/28
定員+10-4
</t>
        </r>
      </text>
    </comment>
    <comment ref="F16" authorId="0" shapeId="0" xr:uid="{C2B4A315-174B-487A-A554-77D41D712590}">
      <text>
        <r>
          <rPr>
            <sz val="9"/>
            <color indexed="81"/>
            <rFont val="MS P ゴシック"/>
            <family val="3"/>
            <charset val="128"/>
          </rPr>
          <t>8/5 40→30
9/2 30→20</t>
        </r>
      </text>
    </comment>
    <comment ref="F23" authorId="1" shapeId="0" xr:uid="{F74371E8-3D1F-431E-92A3-7411870D3B38}">
      <text>
        <r>
          <rPr>
            <b/>
            <sz val="9"/>
            <color indexed="81"/>
            <rFont val="MS P ゴシック"/>
            <family val="3"/>
            <charset val="128"/>
          </rPr>
          <t>9/27：20→10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28" authorId="1" shapeId="0" xr:uid="{E8EA9F1C-9486-4733-9E20-30E947F5F559}">
      <text>
        <r>
          <rPr>
            <b/>
            <sz val="9"/>
            <color indexed="81"/>
            <rFont val="MS P ゴシック"/>
            <family val="3"/>
            <charset val="128"/>
          </rPr>
          <t>5/24
定員20→10</t>
        </r>
      </text>
    </comment>
    <comment ref="E29" authorId="1" shapeId="0" xr:uid="{186AB7B4-146F-4F7B-AB69-34D39C5E9455}">
      <text>
        <r>
          <rPr>
            <b/>
            <sz val="9"/>
            <color indexed="81"/>
            <rFont val="MS P ゴシック"/>
            <family val="3"/>
            <charset val="128"/>
          </rPr>
          <t>ichikawa:10/5
定員20→10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平野</author>
    <author>ichikawa</author>
  </authors>
  <commentList>
    <comment ref="F6" authorId="0" shapeId="0" xr:uid="{FE97526E-3311-4103-90A8-83DF43476594}">
      <text>
        <r>
          <rPr>
            <sz val="9"/>
            <color indexed="81"/>
            <rFont val="MS P ゴシック"/>
            <family val="3"/>
            <charset val="128"/>
          </rPr>
          <t xml:space="preserve">3/29連合会岡崎様より定員２０へ変更
</t>
        </r>
      </text>
    </comment>
    <comment ref="F9" authorId="1" shapeId="0" xr:uid="{11CBFD47-46C8-41E5-9791-430982859F2E}">
      <text>
        <r>
          <rPr>
            <b/>
            <sz val="9"/>
            <color indexed="81"/>
            <rFont val="MS P ゴシック"/>
            <family val="3"/>
            <charset val="128"/>
          </rPr>
          <t>11/21
桐山さんより
変更依頼</t>
        </r>
      </text>
    </comment>
    <comment ref="F16" authorId="1" shapeId="0" xr:uid="{0C2A74CE-4CF8-46A8-B841-89D115D353B8}">
      <text>
        <r>
          <rPr>
            <b/>
            <sz val="9"/>
            <color indexed="81"/>
            <rFont val="MS P ゴシック"/>
            <family val="3"/>
            <charset val="128"/>
          </rPr>
          <t>ichikawa:9/11
連合会より４０→２０に変更
直鞍了解済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2" authorId="1" shapeId="0" xr:uid="{A58B2472-CD88-40BD-B33D-4AD6FB40DED7}">
      <text>
        <r>
          <rPr>
            <b/>
            <sz val="9"/>
            <color indexed="81"/>
            <rFont val="MS P ゴシック"/>
            <family val="3"/>
            <charset val="128"/>
          </rPr>
          <t>ichikawa:</t>
        </r>
        <r>
          <rPr>
            <sz val="9"/>
            <color indexed="81"/>
            <rFont val="MS P ゴシック"/>
            <family val="3"/>
            <charset val="128"/>
          </rPr>
          <t xml:space="preserve">
直鞍1名9/23に移動</t>
        </r>
      </text>
    </comment>
    <comment ref="P33" authorId="1" shapeId="0" xr:uid="{176C1CB2-2B1D-468D-9B4F-9B323AF6B044}">
      <text>
        <r>
          <rPr>
            <b/>
            <sz val="9"/>
            <color indexed="81"/>
            <rFont val="MS P ゴシック"/>
            <family val="3"/>
            <charset val="128"/>
          </rPr>
          <t>ichikawa:</t>
        </r>
        <r>
          <rPr>
            <sz val="9"/>
            <color indexed="81"/>
            <rFont val="MS P ゴシック"/>
            <family val="3"/>
            <charset val="128"/>
          </rPr>
          <t xml:space="preserve">
移動者1名をプラス
した</t>
        </r>
      </text>
    </comment>
    <comment ref="F52" authorId="0" shapeId="0" xr:uid="{7ED55600-0662-4B9E-A286-B02FCD6B0225}">
      <text>
        <r>
          <rPr>
            <b/>
            <sz val="9"/>
            <color indexed="81"/>
            <rFont val="MS P ゴシック"/>
            <family val="3"/>
            <charset val="128"/>
          </rPr>
          <t>平野:</t>
        </r>
        <r>
          <rPr>
            <sz val="9"/>
            <color indexed="81"/>
            <rFont val="MS P ゴシック"/>
            <family val="3"/>
            <charset val="128"/>
          </rPr>
          <t xml:space="preserve">
11/16金井部長より
80→100へ
連合会分も含む</t>
        </r>
      </text>
    </comment>
  </commentList>
</comments>
</file>

<file path=xl/sharedStrings.xml><?xml version="1.0" encoding="utf-8"?>
<sst xmlns="http://schemas.openxmlformats.org/spreadsheetml/2006/main" count="18733" uniqueCount="1257">
  <si>
    <t>筑豊地区　講習会予約数</t>
    <rPh sb="0" eb="2">
      <t>チクホウ</t>
    </rPh>
    <rPh sb="2" eb="4">
      <t>チク</t>
    </rPh>
    <rPh sb="5" eb="8">
      <t>コウシュウカイ</t>
    </rPh>
    <rPh sb="8" eb="10">
      <t>ヨヤク</t>
    </rPh>
    <rPh sb="10" eb="11">
      <t>スウ</t>
    </rPh>
    <phoneticPr fontId="4"/>
  </si>
  <si>
    <t>R03年度</t>
    <rPh sb="3" eb="5">
      <t>ネンド</t>
    </rPh>
    <phoneticPr fontId="4"/>
  </si>
  <si>
    <t xml:space="preserve"> ↓ 定員は適宜、変更の可能性あり</t>
    <rPh sb="3" eb="5">
      <t>テイイン</t>
    </rPh>
    <rPh sb="6" eb="8">
      <t>テキギ</t>
    </rPh>
    <rPh sb="9" eb="11">
      <t>ヘンコウ</t>
    </rPh>
    <rPh sb="12" eb="15">
      <t>カノウセイ</t>
    </rPh>
    <phoneticPr fontId="4"/>
  </si>
  <si>
    <t>開催</t>
    <rPh sb="0" eb="2">
      <t>カイサイ</t>
    </rPh>
    <phoneticPr fontId="4"/>
  </si>
  <si>
    <t>定員</t>
    <rPh sb="0" eb="2">
      <t>テイイン</t>
    </rPh>
    <phoneticPr fontId="4"/>
  </si>
  <si>
    <t>受講可能</t>
    <rPh sb="0" eb="2">
      <t>ジュコウ</t>
    </rPh>
    <rPh sb="2" eb="4">
      <t>カノウ</t>
    </rPh>
    <phoneticPr fontId="4"/>
  </si>
  <si>
    <t>合計</t>
    <rPh sb="0" eb="2">
      <t>ゴウケイ</t>
    </rPh>
    <phoneticPr fontId="4"/>
  </si>
  <si>
    <t>飯塚</t>
    <rPh sb="0" eb="2">
      <t>イイヅカ</t>
    </rPh>
    <phoneticPr fontId="4"/>
  </si>
  <si>
    <t>田川</t>
    <rPh sb="0" eb="2">
      <t>タガワ</t>
    </rPh>
    <phoneticPr fontId="4"/>
  </si>
  <si>
    <t>直鞍</t>
    <rPh sb="0" eb="1">
      <t>チョク</t>
    </rPh>
    <rPh sb="1" eb="2">
      <t>アン</t>
    </rPh>
    <phoneticPr fontId="4"/>
  </si>
  <si>
    <t>連合会</t>
    <rPh sb="0" eb="2">
      <t>レンゴウ</t>
    </rPh>
    <rPh sb="2" eb="3">
      <t>カイ</t>
    </rPh>
    <phoneticPr fontId="4"/>
  </si>
  <si>
    <t>更新日時</t>
    <rPh sb="0" eb="2">
      <t>コウシン</t>
    </rPh>
    <rPh sb="2" eb="4">
      <t>ニチジ</t>
    </rPh>
    <phoneticPr fontId="4"/>
  </si>
  <si>
    <t>キャンセル待ち</t>
    <rPh sb="5" eb="6">
      <t>マ</t>
    </rPh>
    <phoneticPr fontId="4"/>
  </si>
  <si>
    <t>教室</t>
    <rPh sb="0" eb="2">
      <t>キョウシツ</t>
    </rPh>
    <phoneticPr fontId="4"/>
  </si>
  <si>
    <t>15H</t>
    <phoneticPr fontId="4"/>
  </si>
  <si>
    <t>16H</t>
    <phoneticPr fontId="4"/>
  </si>
  <si>
    <t>19H</t>
    <phoneticPr fontId="4"/>
  </si>
  <si>
    <t>学科初日</t>
    <rPh sb="0" eb="2">
      <t>ガッカ</t>
    </rPh>
    <rPh sb="2" eb="4">
      <t>ショニチ</t>
    </rPh>
    <phoneticPr fontId="4"/>
  </si>
  <si>
    <t>実技</t>
    <rPh sb="0" eb="2">
      <t>ジツギ</t>
    </rPh>
    <phoneticPr fontId="4"/>
  </si>
  <si>
    <t>玉掛</t>
  </si>
  <si>
    <t>研究開発C</t>
    <rPh sb="0" eb="2">
      <t>ケンキュウ</t>
    </rPh>
    <rPh sb="2" eb="4">
      <t>カイハツ</t>
    </rPh>
    <phoneticPr fontId="4"/>
  </si>
  <si>
    <t>山家</t>
    <rPh sb="0" eb="1">
      <t>ヤマ</t>
    </rPh>
    <rPh sb="1" eb="2">
      <t>イエ</t>
    </rPh>
    <phoneticPr fontId="4"/>
  </si>
  <si>
    <t>幸袋テクノ</t>
    <rPh sb="0" eb="1">
      <t>コウ</t>
    </rPh>
    <rPh sb="1" eb="2">
      <t>ブクロ</t>
    </rPh>
    <phoneticPr fontId="4"/>
  </si>
  <si>
    <t>直方</t>
    <rPh sb="0" eb="2">
      <t>ノオガタ</t>
    </rPh>
    <phoneticPr fontId="4"/>
  </si>
  <si>
    <t>ADOX別館</t>
    <rPh sb="4" eb="6">
      <t>ベッカン</t>
    </rPh>
    <phoneticPr fontId="4"/>
  </si>
  <si>
    <t>ポリテク：多目的ホール</t>
    <rPh sb="5" eb="8">
      <t>タモクテキ</t>
    </rPh>
    <phoneticPr fontId="4"/>
  </si>
  <si>
    <t>ポリテク：駐車場</t>
    <rPh sb="5" eb="7">
      <t>チュウシャ</t>
    </rPh>
    <rPh sb="7" eb="8">
      <t>ジョウ</t>
    </rPh>
    <phoneticPr fontId="4"/>
  </si>
  <si>
    <t>11H</t>
    <phoneticPr fontId="4"/>
  </si>
  <si>
    <t>31H</t>
    <phoneticPr fontId="4"/>
  </si>
  <si>
    <t>35H</t>
    <phoneticPr fontId="4"/>
  </si>
  <si>
    <t>35H 初日</t>
    <rPh sb="4" eb="6">
      <t>ショニチ</t>
    </rPh>
    <phoneticPr fontId="4"/>
  </si>
  <si>
    <t>31H 初日</t>
    <rPh sb="4" eb="6">
      <t>ショニチ</t>
    </rPh>
    <phoneticPr fontId="4"/>
  </si>
  <si>
    <t>フォーク</t>
    <phoneticPr fontId="4"/>
  </si>
  <si>
    <t>5/17:研究開発C</t>
    <rPh sb="5" eb="7">
      <t>ケンキュウ</t>
    </rPh>
    <rPh sb="7" eb="9">
      <t>カイハツ</t>
    </rPh>
    <phoneticPr fontId="4"/>
  </si>
  <si>
    <t>20H</t>
    <phoneticPr fontId="4"/>
  </si>
  <si>
    <t>小移動</t>
    <rPh sb="0" eb="1">
      <t>コ</t>
    </rPh>
    <rPh sb="1" eb="3">
      <t>イドウ</t>
    </rPh>
    <phoneticPr fontId="4"/>
  </si>
  <si>
    <t>市 04/09  9</t>
  </si>
  <si>
    <t>受講可能</t>
  </si>
  <si>
    <t>12H</t>
    <phoneticPr fontId="4"/>
  </si>
  <si>
    <t>14H</t>
    <phoneticPr fontId="4"/>
  </si>
  <si>
    <t>17H</t>
    <phoneticPr fontId="4"/>
  </si>
  <si>
    <t>高所</t>
    <rPh sb="0" eb="2">
      <t>コウショ</t>
    </rPh>
    <phoneticPr fontId="4"/>
  </si>
  <si>
    <t>5ｔ未満
クレーン</t>
    <rPh sb="2" eb="4">
      <t>ミマン</t>
    </rPh>
    <phoneticPr fontId="4"/>
  </si>
  <si>
    <t>クレーン</t>
    <phoneticPr fontId="4"/>
  </si>
  <si>
    <t>大和ハウス</t>
    <rPh sb="0" eb="2">
      <t>ダイワ</t>
    </rPh>
    <phoneticPr fontId="4"/>
  </si>
  <si>
    <t>クレーン</t>
  </si>
  <si>
    <t>アイテックシステム</t>
    <phoneticPr fontId="4"/>
  </si>
  <si>
    <t>ガス溶接</t>
    <rPh sb="2" eb="4">
      <t>ヨウセツ</t>
    </rPh>
    <phoneticPr fontId="4"/>
  </si>
  <si>
    <t>ポリテク：溶接室</t>
    <rPh sb="5" eb="7">
      <t>ヨウセツ</t>
    </rPh>
    <rPh sb="7" eb="8">
      <t>シツ</t>
    </rPh>
    <phoneticPr fontId="4"/>
  </si>
  <si>
    <t>ﾌﾙ･ﾊｰﾈｽ</t>
    <phoneticPr fontId="4"/>
  </si>
  <si>
    <t>庄内交流センター</t>
    <rPh sb="0" eb="2">
      <t>ショウナイ</t>
    </rPh>
    <rPh sb="2" eb="4">
      <t>コウリュウ</t>
    </rPh>
    <phoneticPr fontId="4"/>
  </si>
  <si>
    <t xml:space="preserve"> </t>
    <phoneticPr fontId="4"/>
  </si>
  <si>
    <t>安全衛生
推進者</t>
    <rPh sb="0" eb="2">
      <t>アンゼン</t>
    </rPh>
    <rPh sb="2" eb="4">
      <t>エイセイ</t>
    </rPh>
    <rPh sb="5" eb="8">
      <t>スイシンシャ</t>
    </rPh>
    <phoneticPr fontId="4"/>
  </si>
  <si>
    <t>推進者</t>
    <rPh sb="0" eb="3">
      <t>スイシンシャ</t>
    </rPh>
    <phoneticPr fontId="4"/>
  </si>
  <si>
    <t>田川青少年文化ホール</t>
    <phoneticPr fontId="4"/>
  </si>
  <si>
    <t>安全管理者
選任</t>
    <rPh sb="0" eb="2">
      <t>アンゼン</t>
    </rPh>
    <rPh sb="2" eb="4">
      <t>カンリ</t>
    </rPh>
    <rPh sb="4" eb="5">
      <t>シャ</t>
    </rPh>
    <rPh sb="6" eb="8">
      <t>センニン</t>
    </rPh>
    <phoneticPr fontId="4"/>
  </si>
  <si>
    <t>安管選任</t>
    <rPh sb="1" eb="2">
      <t>カン</t>
    </rPh>
    <rPh sb="2" eb="4">
      <t>センニン</t>
    </rPh>
    <phoneticPr fontId="4"/>
  </si>
  <si>
    <t>記入履歴</t>
    <rPh sb="0" eb="2">
      <t>キニュウ</t>
    </rPh>
    <rPh sb="2" eb="4">
      <t>リレキ</t>
    </rPh>
    <phoneticPr fontId="4"/>
  </si>
  <si>
    <t>月日</t>
    <rPh sb="0" eb="2">
      <t>ガッピ</t>
    </rPh>
    <phoneticPr fontId="4"/>
  </si>
  <si>
    <t>時刻</t>
    <rPh sb="0" eb="2">
      <t>ジコク</t>
    </rPh>
    <phoneticPr fontId="4"/>
  </si>
  <si>
    <t>記入担当</t>
    <rPh sb="0" eb="2">
      <t>キニュウ</t>
    </rPh>
    <rPh sb="2" eb="4">
      <t>タントウ</t>
    </rPh>
    <phoneticPr fontId="4"/>
  </si>
  <si>
    <t>協会名</t>
    <rPh sb="0" eb="2">
      <t>キョウカイ</t>
    </rPh>
    <rPh sb="2" eb="3">
      <t>メイ</t>
    </rPh>
    <phoneticPr fontId="4"/>
  </si>
  <si>
    <t>講習名</t>
    <rPh sb="0" eb="2">
      <t>コウシュウ</t>
    </rPh>
    <rPh sb="2" eb="3">
      <t>メイ</t>
    </rPh>
    <phoneticPr fontId="4"/>
  </si>
  <si>
    <t>講習月日</t>
    <rPh sb="0" eb="2">
      <t>コウシュウ</t>
    </rPh>
    <rPh sb="2" eb="3">
      <t>ツキ</t>
    </rPh>
    <rPh sb="3" eb="4">
      <t>ヒ</t>
    </rPh>
    <phoneticPr fontId="4"/>
  </si>
  <si>
    <t>入力</t>
    <rPh sb="0" eb="2">
      <t>ニュウリョク</t>
    </rPh>
    <phoneticPr fontId="4"/>
  </si>
  <si>
    <t>受講数変化</t>
    <rPh sb="0" eb="2">
      <t>ジュコウ</t>
    </rPh>
    <rPh sb="2" eb="3">
      <t>スウ</t>
    </rPh>
    <rPh sb="3" eb="5">
      <t>ヘンカ</t>
    </rPh>
    <phoneticPr fontId="4"/>
  </si>
  <si>
    <t>備考</t>
    <rPh sb="0" eb="2">
      <t>ビコウ</t>
    </rPh>
    <phoneticPr fontId="4"/>
  </si>
  <si>
    <t>市川</t>
  </si>
  <si>
    <t>飯塚</t>
  </si>
  <si>
    <t>ﾌﾙ･ﾊｰﾈｽ</t>
  </si>
  <si>
    <t>1</t>
  </si>
  <si>
    <t>飯塚 1</t>
  </si>
  <si>
    <t>毛利</t>
  </si>
  <si>
    <t>平野</t>
  </si>
  <si>
    <t>九州酸素</t>
  </si>
  <si>
    <t>2</t>
  </si>
  <si>
    <t>飯塚 2</t>
  </si>
  <si>
    <t>東洋工業</t>
  </si>
  <si>
    <t>直鞍</t>
  </si>
  <si>
    <t>10</t>
  </si>
  <si>
    <t>直鞍 10</t>
  </si>
  <si>
    <t>9</t>
  </si>
  <si>
    <t>直鞍 9</t>
  </si>
  <si>
    <t>+4</t>
  </si>
  <si>
    <t>直鞍 13</t>
  </si>
  <si>
    <t>推進者</t>
  </si>
  <si>
    <t>直鞍 1</t>
  </si>
  <si>
    <t>飯塚 3</t>
  </si>
  <si>
    <t>九州小島</t>
  </si>
  <si>
    <t>安管選任</t>
  </si>
  <si>
    <t>太平食品</t>
  </si>
  <si>
    <t>田川</t>
  </si>
  <si>
    <t>田川 2</t>
  </si>
  <si>
    <t>田川 1</t>
  </si>
  <si>
    <t>+1</t>
  </si>
  <si>
    <t>小移動</t>
  </si>
  <si>
    <t>フォーク</t>
  </si>
  <si>
    <t>ヒロホー</t>
  </si>
  <si>
    <t>直鞍 11</t>
  </si>
  <si>
    <t>-1</t>
  </si>
  <si>
    <t>サンコー運輸</t>
  </si>
  <si>
    <t>飯塚 4</t>
  </si>
  <si>
    <t>ロケット石鹸</t>
  </si>
  <si>
    <t>飯塚 5</t>
  </si>
  <si>
    <t>ロケット</t>
  </si>
  <si>
    <t>3</t>
  </si>
  <si>
    <t>直鞍 3</t>
  </si>
  <si>
    <t>直鞍 2</t>
  </si>
  <si>
    <t>日建</t>
  </si>
  <si>
    <t>九州コジマ</t>
  </si>
  <si>
    <t>アプリス</t>
  </si>
  <si>
    <t>水間慶次</t>
  </si>
  <si>
    <t>+3</t>
  </si>
  <si>
    <t>直鞍 4</t>
  </si>
  <si>
    <t>+2</t>
  </si>
  <si>
    <t>-2</t>
  </si>
  <si>
    <t>直鞍 12</t>
  </si>
  <si>
    <t>飯塚 7</t>
  </si>
  <si>
    <t>ショウエイ</t>
  </si>
  <si>
    <t>5</t>
  </si>
  <si>
    <t>田川 5</t>
  </si>
  <si>
    <t>水間</t>
  </si>
  <si>
    <t>駒山鐵工</t>
  </si>
  <si>
    <t>今田</t>
  </si>
  <si>
    <t>ガス溶接</t>
  </si>
  <si>
    <t>作成上の注意 覚書</t>
    <rPh sb="0" eb="2">
      <t>サクセイ</t>
    </rPh>
    <rPh sb="2" eb="3">
      <t>ジョウ</t>
    </rPh>
    <rPh sb="4" eb="6">
      <t>チュウイ</t>
    </rPh>
    <rPh sb="7" eb="9">
      <t>オボエガキ</t>
    </rPh>
    <phoneticPr fontId="4"/>
  </si>
  <si>
    <t>予約シートのフォーマットを作る際、</t>
    <rPh sb="0" eb="2">
      <t>ヨヤク</t>
    </rPh>
    <rPh sb="13" eb="14">
      <t>ツク</t>
    </rPh>
    <rPh sb="15" eb="16">
      <t>サイ</t>
    </rPh>
    <phoneticPr fontId="4"/>
  </si>
  <si>
    <t>4～12月は問題ないが、１～３月は年度に注意</t>
    <rPh sb="4" eb="5">
      <t>ガツ</t>
    </rPh>
    <rPh sb="6" eb="8">
      <t>モンダイ</t>
    </rPh>
    <rPh sb="15" eb="16">
      <t>ガツ</t>
    </rPh>
    <rPh sb="17" eb="19">
      <t>ネンド</t>
    </rPh>
    <rPh sb="20" eb="22">
      <t>チュウイ</t>
    </rPh>
    <phoneticPr fontId="4"/>
  </si>
  <si>
    <t>R02年度</t>
    <rPh sb="3" eb="5">
      <t>ネンド</t>
    </rPh>
    <phoneticPr fontId="4"/>
  </si>
  <si>
    <t>山家</t>
    <rPh sb="0" eb="2">
      <t>ヤマイエ</t>
    </rPh>
    <phoneticPr fontId="4"/>
  </si>
  <si>
    <t>庄内交流：第1研修室</t>
    <rPh sb="0" eb="2">
      <t>ショウナイ</t>
    </rPh>
    <rPh sb="2" eb="4">
      <t>コウリュウ</t>
    </rPh>
    <rPh sb="5" eb="6">
      <t>ダイ</t>
    </rPh>
    <rPh sb="7" eb="10">
      <t>ケンシュウシツ</t>
    </rPh>
    <phoneticPr fontId="12"/>
  </si>
  <si>
    <t>ADOX本館</t>
    <rPh sb="4" eb="6">
      <t>ホンカン</t>
    </rPh>
    <phoneticPr fontId="4"/>
  </si>
  <si>
    <t>飯塚１・１</t>
    <rPh sb="0" eb="2">
      <t>イイヅカ</t>
    </rPh>
    <phoneticPr fontId="4"/>
  </si>
  <si>
    <t>戸畑</t>
    <rPh sb="0" eb="2">
      <t>トバタ</t>
    </rPh>
    <phoneticPr fontId="4"/>
  </si>
  <si>
    <t>4/10：多目的ホール</t>
    <rPh sb="5" eb="8">
      <t>タモクテキ</t>
    </rPh>
    <phoneticPr fontId="4"/>
  </si>
  <si>
    <t>35H中止</t>
    <rPh sb="3" eb="5">
      <t>チュウシ</t>
    </rPh>
    <phoneticPr fontId="4"/>
  </si>
  <si>
    <t>大和ハウス工業</t>
  </si>
  <si>
    <t>飯塚商工会議所</t>
    <rPh sb="0" eb="2">
      <t>イイヅカ</t>
    </rPh>
    <rPh sb="2" eb="4">
      <t>ショウコウ</t>
    </rPh>
    <rPh sb="4" eb="7">
      <t>カイギショ</t>
    </rPh>
    <phoneticPr fontId="4"/>
  </si>
  <si>
    <t>アイテックシステム</t>
  </si>
  <si>
    <t>商工会議所202</t>
    <rPh sb="0" eb="5">
      <t>ショウコウカイギショ</t>
    </rPh>
    <phoneticPr fontId="4"/>
  </si>
  <si>
    <t>溶接実習室</t>
    <rPh sb="0" eb="2">
      <t>ヨウセツ</t>
    </rPh>
    <rPh sb="2" eb="5">
      <t>ジッシュウシツ</t>
    </rPh>
    <phoneticPr fontId="4"/>
  </si>
  <si>
    <t>飯塚１</t>
    <rPh sb="0" eb="2">
      <t>イイヅカ</t>
    </rPh>
    <phoneticPr fontId="4"/>
  </si>
  <si>
    <t>多目的実習場２</t>
    <rPh sb="0" eb="3">
      <t>タモクテキ</t>
    </rPh>
    <rPh sb="3" eb="5">
      <t>ジッシュウ</t>
    </rPh>
    <rPh sb="5" eb="6">
      <t>ジョウ</t>
    </rPh>
    <phoneticPr fontId="4"/>
  </si>
  <si>
    <t>ポリテク：２F会議室</t>
    <rPh sb="7" eb="10">
      <t>カイギシツ</t>
    </rPh>
    <phoneticPr fontId="4"/>
  </si>
  <si>
    <t>田川青少年文化ホール・研修室</t>
    <phoneticPr fontId="4"/>
  </si>
  <si>
    <t>研究開発センター</t>
    <rPh sb="0" eb="2">
      <t>ケンキュウ</t>
    </rPh>
    <rPh sb="2" eb="4">
      <t>カイハツ</t>
    </rPh>
    <phoneticPr fontId="12"/>
  </si>
  <si>
    <t>30</t>
  </si>
  <si>
    <t>嘉穂総合</t>
  </si>
  <si>
    <t>西鉄エムテック</t>
  </si>
  <si>
    <t>トーアミ</t>
  </si>
  <si>
    <t>豊運輸</t>
  </si>
  <si>
    <t>クロシード</t>
  </si>
  <si>
    <t>ニシオ工販</t>
  </si>
  <si>
    <t>パロマ</t>
  </si>
  <si>
    <t>日鉄環境プラントソリューション</t>
  </si>
  <si>
    <t>テックエレベーター</t>
  </si>
  <si>
    <t>北村</t>
  </si>
  <si>
    <t>マロニー</t>
  </si>
  <si>
    <t>ブリヂストンフローテック</t>
  </si>
  <si>
    <t>連合会</t>
  </si>
  <si>
    <t>-3</t>
  </si>
  <si>
    <t>幸袋テクノ</t>
  </si>
  <si>
    <t>13</t>
  </si>
  <si>
    <t>飯塚高校</t>
  </si>
  <si>
    <t>深田環境</t>
  </si>
  <si>
    <t>有泉管工</t>
  </si>
  <si>
    <t>九州小島　3/5～変更</t>
  </si>
  <si>
    <t>渡辺プレス</t>
  </si>
  <si>
    <t>沼口</t>
  </si>
  <si>
    <t>白橋</t>
    <phoneticPr fontId="4"/>
  </si>
  <si>
    <t>沼野　かえで</t>
  </si>
  <si>
    <t>西森</t>
  </si>
  <si>
    <t>厚木プラスチック㈱</t>
  </si>
  <si>
    <t>厚木プラスチック</t>
  </si>
  <si>
    <t>長谷きよのり</t>
  </si>
  <si>
    <t>ケイエイ企画</t>
  </si>
  <si>
    <t>田子森</t>
  </si>
  <si>
    <t>榎田</t>
  </si>
  <si>
    <t>+5</t>
  </si>
  <si>
    <t>飯塚 43</t>
  </si>
  <si>
    <t>石松　和憲</t>
    <rPh sb="3" eb="5">
      <t>カズノリ</t>
    </rPh>
    <phoneticPr fontId="4"/>
  </si>
  <si>
    <t>南風堂</t>
  </si>
  <si>
    <t>飯塚 6</t>
  </si>
  <si>
    <t>飯塚 44</t>
  </si>
  <si>
    <t>駒山鉄工</t>
  </si>
  <si>
    <t>飯塚 15</t>
  </si>
  <si>
    <t>直鞍 16</t>
  </si>
  <si>
    <t>飯塚 41</t>
  </si>
  <si>
    <t>ブリヂストン</t>
  </si>
  <si>
    <t>田川 7</t>
  </si>
  <si>
    <t>飯塚 17</t>
  </si>
  <si>
    <t>飯塚 45</t>
  </si>
  <si>
    <t>西鉄運輸</t>
  </si>
  <si>
    <t>田川 9</t>
  </si>
  <si>
    <t>飯塚 46</t>
  </si>
  <si>
    <t>ヤマト</t>
  </si>
  <si>
    <t>西鉄</t>
  </si>
  <si>
    <t>ふかだ　あきお</t>
  </si>
  <si>
    <t>飯塚 47</t>
  </si>
  <si>
    <t>A-POST</t>
  </si>
  <si>
    <t>-12</t>
    <phoneticPr fontId="4"/>
  </si>
  <si>
    <t>飯塚 35</t>
  </si>
  <si>
    <t>飯塚 36</t>
  </si>
  <si>
    <t>駒山鐵工所</t>
  </si>
  <si>
    <t>高所</t>
  </si>
  <si>
    <t>飯塚 37</t>
  </si>
  <si>
    <t>飯塚 18</t>
  </si>
  <si>
    <t>いわもと　まこと</t>
  </si>
  <si>
    <t>直鞍 17</t>
  </si>
  <si>
    <t>飯塚 19</t>
  </si>
  <si>
    <t>平嶋板金</t>
  </si>
  <si>
    <t>ふかだあきお</t>
  </si>
  <si>
    <t>嘉穂総合高校　清水</t>
  </si>
  <si>
    <t>飯塚 21</t>
  </si>
  <si>
    <t>㈱富士機</t>
  </si>
  <si>
    <t>連合会 2</t>
  </si>
  <si>
    <t>連合会 1</t>
  </si>
  <si>
    <t>廣瀬一則</t>
  </si>
  <si>
    <t>田川 8</t>
  </si>
  <si>
    <t>KA企画</t>
  </si>
  <si>
    <t>フリーザーシステム</t>
  </si>
  <si>
    <t>駒山</t>
  </si>
  <si>
    <t>飯塚 0</t>
  </si>
  <si>
    <t>ＫＡ企画</t>
  </si>
  <si>
    <t>直鞍 19</t>
  </si>
  <si>
    <t>飯塚 22</t>
  </si>
  <si>
    <t>九州イーエムアイ</t>
  </si>
  <si>
    <t>田川 3</t>
  </si>
  <si>
    <t>連合会 3</t>
  </si>
  <si>
    <t>田川 6</t>
  </si>
  <si>
    <t>総合環境センター</t>
  </si>
  <si>
    <t>飯塚 23</t>
  </si>
  <si>
    <t>ＲＳテック㈱</t>
  </si>
  <si>
    <t>直鞍 0</t>
  </si>
  <si>
    <t>九州指月</t>
  </si>
  <si>
    <t>ジャパンエンジニアリング</t>
  </si>
  <si>
    <t>-5</t>
  </si>
  <si>
    <t>飯塚 30</t>
  </si>
  <si>
    <t>-4</t>
  </si>
  <si>
    <t>飯塚 24</t>
  </si>
  <si>
    <t>奥　他2名</t>
  </si>
  <si>
    <t>飯塚 25</t>
  </si>
  <si>
    <t>㈲有泉管工</t>
  </si>
  <si>
    <t>飯塚 31</t>
  </si>
  <si>
    <t>原中悟</t>
  </si>
  <si>
    <t>飯塚 26</t>
  </si>
  <si>
    <t>i建</t>
  </si>
  <si>
    <t>飯塚 29</t>
  </si>
  <si>
    <t>連合会 4</t>
  </si>
  <si>
    <t>九州クボタ化成</t>
  </si>
  <si>
    <t>宇都宮</t>
  </si>
  <si>
    <t>2</t>
    <phoneticPr fontId="4"/>
  </si>
  <si>
    <t>九州クボタ</t>
  </si>
  <si>
    <t>厚木プラステック</t>
  </si>
  <si>
    <t>厚木</t>
  </si>
  <si>
    <t>-18</t>
  </si>
  <si>
    <t>飯塚 12</t>
  </si>
  <si>
    <t>嘉穂製作所</t>
  </si>
  <si>
    <t>厚木プラスティック</t>
  </si>
  <si>
    <t>飯塚 8</t>
  </si>
  <si>
    <t>飯塚 11</t>
  </si>
  <si>
    <t>飯塚 10</t>
  </si>
  <si>
    <t>コロナ</t>
  </si>
  <si>
    <t>-8</t>
  </si>
  <si>
    <t>+6</t>
  </si>
  <si>
    <t>直鞍 5</t>
  </si>
  <si>
    <t>-6</t>
  </si>
  <si>
    <t>直鞍 7</t>
  </si>
  <si>
    <t>直鞍 18</t>
  </si>
  <si>
    <t>直鞍 20</t>
  </si>
  <si>
    <t>直鞍 22</t>
  </si>
  <si>
    <t>中村蓮</t>
  </si>
  <si>
    <t>飯塚 20</t>
  </si>
  <si>
    <t>飯塚 9</t>
  </si>
  <si>
    <t>森田りゅう</t>
  </si>
  <si>
    <t>九州酸素</t>
    <rPh sb="0" eb="2">
      <t>キュウシュウ</t>
    </rPh>
    <rPh sb="2" eb="4">
      <t>サンソ</t>
    </rPh>
    <phoneticPr fontId="4"/>
  </si>
  <si>
    <t>石川工務店</t>
  </si>
  <si>
    <t>直鞍 23</t>
  </si>
  <si>
    <t>田川 0</t>
  </si>
  <si>
    <t>直鞍 25</t>
  </si>
  <si>
    <t>直鞍 15</t>
  </si>
  <si>
    <t>岩本①から北）7.13へ</t>
  </si>
  <si>
    <t>croceed</t>
  </si>
  <si>
    <t>Crosseed</t>
  </si>
  <si>
    <t>さかえ屋</t>
  </si>
  <si>
    <t>田川 4</t>
  </si>
  <si>
    <t>日鉄環境</t>
  </si>
  <si>
    <t>-19</t>
  </si>
  <si>
    <t>直鞍 6</t>
  </si>
  <si>
    <t>ワタナベテクノス</t>
  </si>
  <si>
    <t>長谷</t>
  </si>
  <si>
    <t>吉田</t>
  </si>
  <si>
    <t>エネルギーネットワーク</t>
  </si>
  <si>
    <t>市川</t>
    <phoneticPr fontId="4"/>
  </si>
  <si>
    <t>九州小島：倉本 7/13→6/4</t>
    <rPh sb="0" eb="2">
      <t>キュウシュウ</t>
    </rPh>
    <rPh sb="2" eb="4">
      <t>コジマ</t>
    </rPh>
    <rPh sb="5" eb="7">
      <t>クラモト</t>
    </rPh>
    <phoneticPr fontId="4"/>
  </si>
  <si>
    <t>田川 11</t>
  </si>
  <si>
    <t>田川 12</t>
  </si>
  <si>
    <t>直鞍 14</t>
  </si>
  <si>
    <t>セレコーポレーション</t>
  </si>
  <si>
    <t>富士機</t>
  </si>
  <si>
    <t>福本良介</t>
  </si>
  <si>
    <t>駒山鉄工所</t>
    <rPh sb="2" eb="5">
      <t>テッコウショ</t>
    </rPh>
    <phoneticPr fontId="4"/>
  </si>
  <si>
    <t>ジャパンパイル</t>
  </si>
  <si>
    <t>田川 13</t>
  </si>
  <si>
    <t>巧電社</t>
  </si>
  <si>
    <t>飯塚 13</t>
  </si>
  <si>
    <t>宮本</t>
  </si>
  <si>
    <t>二瀬窯業</t>
  </si>
  <si>
    <t>飯塚 16</t>
  </si>
  <si>
    <t>三協技建</t>
  </si>
  <si>
    <t>エネサーブ</t>
  </si>
  <si>
    <t>豊鋼材工業</t>
  </si>
  <si>
    <t>沢井製薬　九州工場</t>
  </si>
  <si>
    <t>直鞍 21</t>
  </si>
  <si>
    <t>飯塚消防本部</t>
  </si>
  <si>
    <t>飯塚地区消防本部</t>
  </si>
  <si>
    <t>沢井製薬</t>
  </si>
  <si>
    <t>沢井製薬九州工場</t>
  </si>
  <si>
    <t>熊井　勲</t>
  </si>
  <si>
    <t>髙橋　知子</t>
  </si>
  <si>
    <t>ヤマト運輸</t>
  </si>
  <si>
    <t>諏訪工業</t>
  </si>
  <si>
    <t>飯塚 14</t>
  </si>
  <si>
    <t>飯塚消防署</t>
  </si>
  <si>
    <t>福沢つとむ</t>
  </si>
  <si>
    <t>田川 14</t>
  </si>
  <si>
    <t>田川 15</t>
  </si>
  <si>
    <t>直鞍 8</t>
  </si>
  <si>
    <t>熊井</t>
  </si>
  <si>
    <t>フジクリーン工業㈱</t>
  </si>
  <si>
    <t>松田ひろし</t>
  </si>
  <si>
    <t>直鞍 27</t>
  </si>
  <si>
    <t>直方工業</t>
  </si>
  <si>
    <t>シノハラ</t>
  </si>
  <si>
    <t>ヤマト産業</t>
  </si>
  <si>
    <t>田川 16</t>
  </si>
  <si>
    <t>立川ブラインド</t>
  </si>
  <si>
    <t>田川 10</t>
  </si>
  <si>
    <t>芳雄製氷</t>
  </si>
  <si>
    <t>松木ただお</t>
  </si>
  <si>
    <t>フリザーシステム</t>
  </si>
  <si>
    <t>藤川</t>
  </si>
  <si>
    <t>酪農業協同組合</t>
  </si>
  <si>
    <t>パイオラックス</t>
  </si>
  <si>
    <t>松田</t>
  </si>
  <si>
    <t>パイオラックス九州</t>
  </si>
  <si>
    <t>テクノ</t>
  </si>
  <si>
    <t>㈲イデコンポー</t>
  </si>
  <si>
    <t>福本</t>
  </si>
  <si>
    <t>沢井九州</t>
  </si>
  <si>
    <t>レールテック</t>
  </si>
  <si>
    <t>森光</t>
  </si>
  <si>
    <t>大蔵まさし</t>
  </si>
  <si>
    <t>+20</t>
  </si>
  <si>
    <t>嘉穂綜合</t>
  </si>
  <si>
    <t>九州指月　宮崎</t>
  </si>
  <si>
    <t>渕上</t>
  </si>
  <si>
    <t>ＤＡＩＳＥＩ</t>
  </si>
  <si>
    <t>竹上鉄工</t>
  </si>
  <si>
    <t>小金丸建設</t>
  </si>
  <si>
    <t>碓井運送</t>
  </si>
  <si>
    <t>三上</t>
  </si>
  <si>
    <t>赤松</t>
  </si>
  <si>
    <t>樋口りょう</t>
  </si>
  <si>
    <t>長州産業</t>
  </si>
  <si>
    <t>蘇木</t>
  </si>
  <si>
    <t>沢井　九州工場</t>
  </si>
  <si>
    <t>ジオファクト</t>
  </si>
  <si>
    <t>直鞍 26</t>
  </si>
  <si>
    <t>岡部</t>
  </si>
  <si>
    <t>阿蘇工業</t>
  </si>
  <si>
    <t>マキテック</t>
  </si>
  <si>
    <t>エーポスト</t>
  </si>
  <si>
    <t>有富</t>
  </si>
  <si>
    <t>日本管財環境</t>
  </si>
  <si>
    <t>エヌティ工業</t>
  </si>
  <si>
    <t>昭和電機接点</t>
  </si>
  <si>
    <t>本田機工</t>
  </si>
  <si>
    <t>西村</t>
  </si>
  <si>
    <t>本多機工</t>
  </si>
  <si>
    <t>山本　りょうたろう</t>
  </si>
  <si>
    <t>+7</t>
  </si>
  <si>
    <t>盛坪</t>
  </si>
  <si>
    <t>補正</t>
  </si>
  <si>
    <t>エスケー化研</t>
  </si>
  <si>
    <t>大蔵</t>
  </si>
  <si>
    <t>マウスプラニング</t>
  </si>
  <si>
    <t>太陽建機レンタル</t>
  </si>
  <si>
    <t>ラクテンダイレクト</t>
  </si>
  <si>
    <t>マルエスゴム</t>
  </si>
  <si>
    <t>ヤマト運輸北九州</t>
  </si>
  <si>
    <t>嘉穂製作所　補正</t>
  </si>
  <si>
    <t>飯塚 28</t>
  </si>
  <si>
    <t>㈱トレンド</t>
  </si>
  <si>
    <t>大谷建設</t>
  </si>
  <si>
    <t>シンコー</t>
  </si>
  <si>
    <t>ゆうわ工業</t>
  </si>
  <si>
    <t>西日本フレーミング</t>
  </si>
  <si>
    <t>ワタナベプレス</t>
  </si>
  <si>
    <t>KTトランスポート</t>
  </si>
  <si>
    <t>㈲裕覇</t>
  </si>
  <si>
    <t>KHK</t>
  </si>
  <si>
    <t>K.H.K</t>
  </si>
  <si>
    <t>大野商店</t>
  </si>
  <si>
    <t>㈱一広産業</t>
  </si>
  <si>
    <t>フクエイ</t>
  </si>
  <si>
    <t>大塚</t>
  </si>
  <si>
    <t>大谷</t>
  </si>
  <si>
    <t>鹿島技建</t>
  </si>
  <si>
    <t>伸和建設</t>
  </si>
  <si>
    <t>沢井九州工場</t>
  </si>
  <si>
    <t>鹿島技研</t>
  </si>
  <si>
    <t>加工センター</t>
  </si>
  <si>
    <t>荒生田運送</t>
  </si>
  <si>
    <t>溝口</t>
    <rPh sb="0" eb="2">
      <t>ミゾグチ</t>
    </rPh>
    <phoneticPr fontId="4"/>
  </si>
  <si>
    <t>仲野　三佳</t>
  </si>
  <si>
    <t>木村_田川</t>
  </si>
  <si>
    <t>日本管財</t>
  </si>
  <si>
    <t>堀田勝義</t>
  </si>
  <si>
    <t>月成広明</t>
  </si>
  <si>
    <t>東プレ九州</t>
  </si>
  <si>
    <t>山本圭</t>
  </si>
  <si>
    <t>日本スピン</t>
  </si>
  <si>
    <t>渡部　拓也</t>
  </si>
  <si>
    <t>フジクリーン</t>
  </si>
  <si>
    <t>飯塚 34</t>
  </si>
  <si>
    <t>筑豊SS</t>
  </si>
  <si>
    <t>竜王運輸</t>
  </si>
  <si>
    <t>NOK</t>
  </si>
  <si>
    <t>沢井製薬　森沢</t>
  </si>
  <si>
    <t>㈱飯田商店</t>
  </si>
  <si>
    <t>津久見車輛</t>
  </si>
  <si>
    <t>サンネット</t>
  </si>
  <si>
    <t>三上貴恵</t>
  </si>
  <si>
    <t>九州マルフジ</t>
  </si>
  <si>
    <t>マルエスゴム工業所</t>
  </si>
  <si>
    <t>西岡</t>
  </si>
  <si>
    <t>津久見車輌</t>
  </si>
  <si>
    <t>西日本総建</t>
  </si>
  <si>
    <t>Ａ－ＰＯＳＴ</t>
  </si>
  <si>
    <t>綾部りょうや</t>
  </si>
  <si>
    <t>毛利健太</t>
  </si>
  <si>
    <t>㈲マルイ産業</t>
  </si>
  <si>
    <t>ＹＳＰ</t>
  </si>
  <si>
    <t>YSP</t>
  </si>
  <si>
    <t>サンネット末永</t>
  </si>
  <si>
    <t>ごとうしんじ</t>
  </si>
  <si>
    <t>いしばし　たかゆき</t>
    <phoneticPr fontId="4"/>
  </si>
  <si>
    <t>筑豊S/S</t>
  </si>
  <si>
    <t>補正</t>
    <rPh sb="0" eb="2">
      <t>ホセイ</t>
    </rPh>
    <phoneticPr fontId="4"/>
  </si>
  <si>
    <t>安部</t>
  </si>
  <si>
    <t>不合格</t>
  </si>
  <si>
    <t>日本産業</t>
  </si>
  <si>
    <t>補正：後藤しんじ　取消</t>
  </si>
  <si>
    <t>桐生</t>
  </si>
  <si>
    <t>日創プロニティ</t>
  </si>
  <si>
    <t>福豊帝酸</t>
  </si>
  <si>
    <t>キワ工業</t>
  </si>
  <si>
    <t>日創プロニティ望月　1/25へ変更</t>
  </si>
  <si>
    <t>筑豊製作所</t>
  </si>
  <si>
    <t>+10</t>
  </si>
  <si>
    <t>堤</t>
  </si>
  <si>
    <t>山下　ともき</t>
  </si>
  <si>
    <t>-16</t>
  </si>
  <si>
    <t>16</t>
  </si>
  <si>
    <t>-17</t>
  </si>
  <si>
    <t>毛利,九州酸素</t>
  </si>
  <si>
    <t>㈱丸本</t>
  </si>
  <si>
    <t>西薗輝政</t>
  </si>
  <si>
    <t>田中</t>
  </si>
  <si>
    <t>山下</t>
  </si>
  <si>
    <t>池田</t>
  </si>
  <si>
    <t>いなかず</t>
  </si>
  <si>
    <t>女性</t>
  </si>
  <si>
    <t>つるた工業</t>
  </si>
  <si>
    <t>三国紙工</t>
  </si>
  <si>
    <t>日建トータルソーシング</t>
  </si>
  <si>
    <t>瓜生</t>
  </si>
  <si>
    <t>アイテック</t>
  </si>
  <si>
    <t>金子製作所</t>
  </si>
  <si>
    <t>柴田</t>
  </si>
  <si>
    <t>KBSクボタ</t>
  </si>
  <si>
    <t>ロケット石?</t>
  </si>
  <si>
    <t>吉岡あきら</t>
  </si>
  <si>
    <t>光栄技建</t>
  </si>
  <si>
    <t>イックス</t>
  </si>
  <si>
    <t>ＪＲ九州エンジニアリング</t>
  </si>
  <si>
    <t>富田かあい</t>
  </si>
  <si>
    <t>武智運送</t>
  </si>
  <si>
    <t>フジキ</t>
  </si>
  <si>
    <t>冨士機</t>
  </si>
  <si>
    <t>遠座</t>
  </si>
  <si>
    <t>篠原</t>
  </si>
  <si>
    <t>シブタ商会</t>
  </si>
  <si>
    <t>クボタ化成</t>
  </si>
  <si>
    <t>+15</t>
  </si>
  <si>
    <t>=17</t>
  </si>
  <si>
    <t>19</t>
  </si>
  <si>
    <t>ユゲ電気</t>
  </si>
  <si>
    <t>ジャパンキャスティング</t>
  </si>
  <si>
    <t>田村まこと</t>
  </si>
  <si>
    <t>寒北斗</t>
  </si>
  <si>
    <t>沢井製薬㈱九州</t>
  </si>
  <si>
    <t>小松菊恵</t>
  </si>
  <si>
    <t>6</t>
  </si>
  <si>
    <t>7</t>
  </si>
  <si>
    <t>㈱あらた</t>
  </si>
  <si>
    <t>豊前郵便局</t>
  </si>
  <si>
    <t>きょうえい</t>
  </si>
  <si>
    <t>ふくおか央環境広域</t>
  </si>
  <si>
    <t>ふくおか央環境広域</t>
    <phoneticPr fontId="3"/>
  </si>
  <si>
    <t>ＮＴ工業</t>
  </si>
  <si>
    <t>九州ラミネート</t>
  </si>
  <si>
    <t>片島屋</t>
  </si>
  <si>
    <t>東プレ</t>
  </si>
  <si>
    <t>小松</t>
  </si>
  <si>
    <t>武貞</t>
  </si>
  <si>
    <t>新日本管財㈱</t>
  </si>
  <si>
    <t>日鉄環境プラント</t>
  </si>
  <si>
    <t>井上</t>
  </si>
  <si>
    <t>荒亀満希</t>
  </si>
  <si>
    <t>飯塚 27</t>
  </si>
  <si>
    <t>グロップ</t>
  </si>
  <si>
    <t>旭産業</t>
  </si>
  <si>
    <t>+9</t>
  </si>
  <si>
    <t>トヨタＬ＆Ｆ</t>
  </si>
  <si>
    <t>中津急行</t>
  </si>
  <si>
    <t>ジャパンキャステリング</t>
  </si>
  <si>
    <t>daisei</t>
  </si>
  <si>
    <t>飯塚 32</t>
  </si>
  <si>
    <t>ロジスコムＱ</t>
  </si>
  <si>
    <t>エスケー化研㈱</t>
  </si>
  <si>
    <t>パカーアサヒ</t>
  </si>
  <si>
    <t>九酸</t>
  </si>
  <si>
    <t>永末満</t>
  </si>
  <si>
    <t>冨士木</t>
  </si>
  <si>
    <t>飯塚 38</t>
  </si>
  <si>
    <t>㈱トクマン</t>
  </si>
  <si>
    <t>佐藤コンクリート工業</t>
  </si>
  <si>
    <t>原</t>
  </si>
  <si>
    <t>ダイヤマシナリーサービス</t>
  </si>
  <si>
    <t>ｼﾞｬﾊﾟﾝﾊﾟｲﾙ</t>
  </si>
  <si>
    <t>アプリス：宮谷</t>
  </si>
  <si>
    <t>山辺電機</t>
  </si>
  <si>
    <t>九州標識</t>
  </si>
  <si>
    <t>丸本</t>
  </si>
  <si>
    <t>アイテックシステム㈱</t>
  </si>
  <si>
    <t>今田明美</t>
  </si>
  <si>
    <t>今田明美：日程変更</t>
  </si>
  <si>
    <t>遠座福男：変更</t>
  </si>
  <si>
    <t>あさお工業</t>
  </si>
  <si>
    <t>岸川</t>
  </si>
  <si>
    <t>ユゲ電機岸川</t>
  </si>
  <si>
    <t>4</t>
  </si>
  <si>
    <t>佐藤コンクリート</t>
  </si>
  <si>
    <t>森組</t>
  </si>
  <si>
    <t>あさひ産業</t>
  </si>
  <si>
    <t>永嶋工業</t>
  </si>
  <si>
    <t>デンシン</t>
  </si>
  <si>
    <t>トクマン</t>
  </si>
  <si>
    <t>松崎陽一郎</t>
  </si>
  <si>
    <t>直方建機飯塚営業所</t>
  </si>
  <si>
    <t>日本管財環境サービス</t>
  </si>
  <si>
    <t>マルケンロジスティック</t>
  </si>
  <si>
    <t>鎌田しんいち</t>
  </si>
  <si>
    <t>ヒロホー㈱</t>
  </si>
  <si>
    <t>九州特殊モータ</t>
  </si>
  <si>
    <t>フジクリーン工業</t>
  </si>
  <si>
    <t>しちき</t>
  </si>
  <si>
    <t>しきち</t>
  </si>
  <si>
    <t>コースイ</t>
  </si>
  <si>
    <t>ホットスタッフ</t>
  </si>
  <si>
    <t>藤原工業</t>
  </si>
  <si>
    <t>ホット</t>
  </si>
  <si>
    <t>添田ユリコ</t>
  </si>
  <si>
    <t>おいかわ</t>
  </si>
  <si>
    <t>かげやま</t>
  </si>
  <si>
    <t>立原</t>
  </si>
  <si>
    <t>手島　奈美</t>
  </si>
  <si>
    <t>沢井製薬㈱高橋　人を変えて移動</t>
  </si>
  <si>
    <t>金柏諺</t>
  </si>
  <si>
    <t>11/7ポリテク</t>
    <phoneticPr fontId="4"/>
  </si>
  <si>
    <t>近藤エンジニアリング</t>
  </si>
  <si>
    <t>サノテクノ</t>
  </si>
  <si>
    <t>大屋</t>
  </si>
  <si>
    <t>三村てつや</t>
  </si>
  <si>
    <t>豊和繊維</t>
  </si>
  <si>
    <t>ＨＯＷＡ九州</t>
  </si>
  <si>
    <t>イックス　森光</t>
  </si>
  <si>
    <t>飯塚消防</t>
  </si>
  <si>
    <t>日本メディカルプロパティ</t>
  </si>
  <si>
    <t>ダイヤシステム</t>
  </si>
  <si>
    <t>赤尾組</t>
  </si>
  <si>
    <t>林組</t>
  </si>
  <si>
    <t>市川</t>
    <phoneticPr fontId="3"/>
  </si>
  <si>
    <t>飯塚</t>
    <phoneticPr fontId="3"/>
  </si>
  <si>
    <t>ガス溶接</t>
    <phoneticPr fontId="3"/>
  </si>
  <si>
    <t>+19</t>
    <phoneticPr fontId="3"/>
  </si>
  <si>
    <t>飯塚 37</t>
    <rPh sb="0" eb="2">
      <t>イイヅカ</t>
    </rPh>
    <phoneticPr fontId="3"/>
  </si>
  <si>
    <t>+1</t>
    <phoneticPr fontId="3"/>
  </si>
  <si>
    <t>飯塚 39</t>
  </si>
  <si>
    <t>飯塚 39</t>
    <phoneticPr fontId="3"/>
  </si>
  <si>
    <t>あらたに</t>
  </si>
  <si>
    <t>共栄フード</t>
  </si>
  <si>
    <t>ＨＯＷＡ</t>
  </si>
  <si>
    <t>ブリジストンフローテック</t>
  </si>
  <si>
    <t>澤永まさや</t>
  </si>
  <si>
    <t>上条ひろと</t>
  </si>
  <si>
    <t>そがべなお</t>
  </si>
  <si>
    <t>上野</t>
  </si>
  <si>
    <t>HOWA九州</t>
  </si>
  <si>
    <t>直鞍１・飯塚２・１</t>
    <rPh sb="0" eb="2">
      <t>チョクアン</t>
    </rPh>
    <rPh sb="4" eb="6">
      <t>イイヅカ</t>
    </rPh>
    <phoneticPr fontId="3"/>
  </si>
  <si>
    <t>アムテックモールド</t>
  </si>
  <si>
    <t>-7</t>
  </si>
  <si>
    <t>新鋭ミート</t>
  </si>
  <si>
    <t>奥名</t>
  </si>
  <si>
    <t>飯塚高校自動車</t>
  </si>
  <si>
    <t>シバタメンテナンス</t>
  </si>
  <si>
    <t>百武</t>
  </si>
  <si>
    <t>ダイソー産業</t>
  </si>
  <si>
    <t>草竹コンクリート</t>
  </si>
  <si>
    <t>田川１</t>
    <rPh sb="0" eb="2">
      <t>タガワ</t>
    </rPh>
    <phoneticPr fontId="3"/>
  </si>
  <si>
    <r>
      <rPr>
        <strike/>
        <sz val="12"/>
        <rFont val="ＭＳ Ｐゴシック"/>
        <family val="3"/>
        <charset val="128"/>
      </rPr>
      <t>9月17日</t>
    </r>
    <r>
      <rPr>
        <sz val="12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9月27日</t>
    </r>
    <rPh sb="1" eb="2">
      <t>ガツ</t>
    </rPh>
    <rPh sb="4" eb="5">
      <t>ニチ</t>
    </rPh>
    <rPh sb="7" eb="8">
      <t>ガツ</t>
    </rPh>
    <rPh sb="10" eb="11">
      <t>ニチ</t>
    </rPh>
    <phoneticPr fontId="3"/>
  </si>
  <si>
    <t>飯塚研究開発センター</t>
    <rPh sb="0" eb="2">
      <t>イイヅカ</t>
    </rPh>
    <rPh sb="2" eb="6">
      <t>ケンキュウカイハツ</t>
    </rPh>
    <phoneticPr fontId="4"/>
  </si>
  <si>
    <t>9月17日
9月27日</t>
  </si>
  <si>
    <t>髙田　巧</t>
  </si>
  <si>
    <t>まついみな</t>
  </si>
  <si>
    <t>㈱松岡</t>
  </si>
  <si>
    <t>豊熱</t>
  </si>
  <si>
    <t>深見たくや</t>
  </si>
  <si>
    <t>オカベ工事</t>
  </si>
  <si>
    <t>パーカーアサヒ：日髙：小移動から変更</t>
  </si>
  <si>
    <t>三丸電機</t>
  </si>
  <si>
    <t>紀和工業</t>
  </si>
  <si>
    <t>上村</t>
  </si>
  <si>
    <t>越本</t>
  </si>
  <si>
    <t>澤田</t>
  </si>
  <si>
    <t>アイテック馬本</t>
  </si>
  <si>
    <t>緒方のぞみ</t>
  </si>
  <si>
    <t>鹿島技研</t>
    <rPh sb="0" eb="4">
      <t>カシマギケン</t>
    </rPh>
    <phoneticPr fontId="3"/>
  </si>
  <si>
    <t>サンテック九州</t>
  </si>
  <si>
    <t>江口</t>
  </si>
  <si>
    <t>日鉄環境エネルギー㈱</t>
  </si>
  <si>
    <t>極東サービス</t>
  </si>
  <si>
    <t>沖康広</t>
  </si>
  <si>
    <t>九州指月㈱</t>
  </si>
  <si>
    <t>有久史郎</t>
  </si>
  <si>
    <t>飯塚１</t>
    <rPh sb="0" eb="2">
      <t>イイヅカ</t>
    </rPh>
    <phoneticPr fontId="3"/>
  </si>
  <si>
    <t>清水工機</t>
  </si>
  <si>
    <t>西鉄バス</t>
  </si>
  <si>
    <t>時間変更３５H→３１H</t>
  </si>
  <si>
    <t>江口通</t>
  </si>
  <si>
    <t>江口通　１１・８に日程変更</t>
  </si>
  <si>
    <t>総合環境センタ</t>
  </si>
  <si>
    <t>大川</t>
  </si>
  <si>
    <t>桑野和幸</t>
  </si>
  <si>
    <t>シンコー㈱</t>
    <phoneticPr fontId="3"/>
  </si>
  <si>
    <t>小林ガラス店</t>
  </si>
  <si>
    <t>日鉄セイコー</t>
  </si>
  <si>
    <t>博光社</t>
  </si>
  <si>
    <t>いとうさとし</t>
  </si>
  <si>
    <t>新永</t>
  </si>
  <si>
    <t>くわはら</t>
  </si>
  <si>
    <t>大和興行</t>
  </si>
  <si>
    <t>浅野哲</t>
  </si>
  <si>
    <t>のがみ組</t>
  </si>
  <si>
    <t>松田なおき</t>
  </si>
  <si>
    <t>永岡</t>
  </si>
  <si>
    <t>嘉穂総合？</t>
  </si>
  <si>
    <t>九州ラミネート：力丸 移動</t>
  </si>
  <si>
    <t>荒木工務店（加工センター</t>
  </si>
  <si>
    <t>カヤシマ設備</t>
  </si>
  <si>
    <t>九州ラミネート：力丸</t>
  </si>
  <si>
    <t>マクセル</t>
  </si>
  <si>
    <t>九電ハイテック</t>
  </si>
  <si>
    <t>㈱スズキ</t>
  </si>
  <si>
    <t>山本　稔員</t>
  </si>
  <si>
    <t>相牟田</t>
  </si>
  <si>
    <t>浅野</t>
  </si>
  <si>
    <t>マクセル　田川へ</t>
  </si>
  <si>
    <t>豊興業</t>
  </si>
  <si>
    <t>中山福</t>
  </si>
  <si>
    <t>テクノ7/22へ</t>
  </si>
  <si>
    <t>R04年度</t>
    <rPh sb="3" eb="5">
      <t>ネンド</t>
    </rPh>
    <phoneticPr fontId="4"/>
  </si>
  <si>
    <t>飯塚</t>
    <rPh sb="0" eb="2">
      <t>イイヅカ</t>
    </rPh>
    <phoneticPr fontId="3"/>
  </si>
  <si>
    <t>直方</t>
    <rPh sb="0" eb="2">
      <t>ノオガタ</t>
    </rPh>
    <phoneticPr fontId="3"/>
  </si>
  <si>
    <t>田川</t>
    <rPh sb="0" eb="2">
      <t>タガワ</t>
    </rPh>
    <phoneticPr fontId="3"/>
  </si>
  <si>
    <t>田川高等技術専門学校</t>
    <rPh sb="0" eb="2">
      <t>タガワ</t>
    </rPh>
    <rPh sb="2" eb="6">
      <t>コウトウギジュツ</t>
    </rPh>
    <rPh sb="6" eb="10">
      <t>センモンガッコウ</t>
    </rPh>
    <phoneticPr fontId="3"/>
  </si>
  <si>
    <t>山家</t>
    <rPh sb="0" eb="2">
      <t>ヤマイエ</t>
    </rPh>
    <phoneticPr fontId="3"/>
  </si>
  <si>
    <t>廣木しん</t>
  </si>
  <si>
    <t>オガワ設備工業</t>
  </si>
  <si>
    <t>サンキ</t>
  </si>
  <si>
    <t>フジクリーン島</t>
  </si>
  <si>
    <t>吉岡</t>
  </si>
  <si>
    <t>田代吹付塗装</t>
  </si>
  <si>
    <t>ウシジマ</t>
  </si>
  <si>
    <t>あおい</t>
  </si>
  <si>
    <t>㈱サンセイ</t>
  </si>
  <si>
    <t>折川裕一</t>
  </si>
  <si>
    <t>ＹＣ</t>
  </si>
  <si>
    <t>中島克彦（hoshinoSS）</t>
    <phoneticPr fontId="3"/>
  </si>
  <si>
    <t>星野勝之（hoshinoSS）</t>
    <phoneticPr fontId="3"/>
  </si>
  <si>
    <t>星野正幸（hoshinoSS）</t>
    <rPh sb="2" eb="4">
      <t>マサユキ</t>
    </rPh>
    <phoneticPr fontId="3"/>
  </si>
  <si>
    <t>1</t>
    <phoneticPr fontId="3"/>
  </si>
  <si>
    <t>飯塚 1</t>
    <phoneticPr fontId="3"/>
  </si>
  <si>
    <t>シンコー㈱</t>
  </si>
  <si>
    <t>飯塚 40</t>
  </si>
  <si>
    <t>三協増改築C</t>
  </si>
  <si>
    <t>飯塚 42</t>
  </si>
  <si>
    <t>日進技巧</t>
  </si>
  <si>
    <t>極東</t>
  </si>
  <si>
    <t>岩永建設</t>
  </si>
  <si>
    <t>アラタ</t>
  </si>
  <si>
    <t>嘉穂園芸</t>
  </si>
  <si>
    <t>中野けいたろう</t>
  </si>
  <si>
    <t>筑豊通運</t>
  </si>
  <si>
    <t>渡辺産業</t>
  </si>
  <si>
    <t>20</t>
  </si>
  <si>
    <t>田川 20</t>
  </si>
  <si>
    <t>コカ・コーラボトラーズ</t>
  </si>
  <si>
    <t>高見たくや</t>
  </si>
  <si>
    <t>㈲サキオ</t>
  </si>
  <si>
    <t>志水栄治</t>
  </si>
  <si>
    <t>幸袋テクノ　2/18より移動</t>
  </si>
  <si>
    <t>幸袋テクノ　次回へ</t>
  </si>
  <si>
    <t>幸袋テクノ</t>
    <rPh sb="0" eb="2">
      <t>コウブクロ</t>
    </rPh>
    <phoneticPr fontId="3"/>
  </si>
  <si>
    <t>戸畑</t>
    <rPh sb="0" eb="2">
      <t>トバタ</t>
    </rPh>
    <phoneticPr fontId="3"/>
  </si>
  <si>
    <t>大和ハウス工業</t>
    <rPh sb="0" eb="2">
      <t>ダイワ</t>
    </rPh>
    <rPh sb="5" eb="7">
      <t>コウギョウ</t>
    </rPh>
    <phoneticPr fontId="3"/>
  </si>
  <si>
    <t>アイテックシステム</t>
    <phoneticPr fontId="3"/>
  </si>
  <si>
    <t>小山</t>
  </si>
  <si>
    <t>サキオ</t>
  </si>
  <si>
    <t>中村建設</t>
  </si>
  <si>
    <t>マルケンロジスティクス</t>
  </si>
  <si>
    <t>AK</t>
  </si>
  <si>
    <t>福栄</t>
  </si>
  <si>
    <t>ヒロタニ</t>
  </si>
  <si>
    <t>アルファメタル</t>
  </si>
  <si>
    <t>坂本</t>
  </si>
  <si>
    <t>講習時間補正</t>
  </si>
  <si>
    <t>清浄学園</t>
  </si>
  <si>
    <t>連合会 0</t>
  </si>
  <si>
    <t>㈲渡邉工業</t>
  </si>
  <si>
    <t>大西</t>
  </si>
  <si>
    <t>上原＋1名</t>
  </si>
  <si>
    <t>大信興行</t>
  </si>
  <si>
    <t>田川 21</t>
  </si>
  <si>
    <t>大西　美博</t>
  </si>
  <si>
    <t>門田</t>
  </si>
  <si>
    <t>藤井　智裕</t>
  </si>
  <si>
    <t>特殊電極</t>
  </si>
  <si>
    <t>福田　伸二</t>
  </si>
  <si>
    <t>日鉄</t>
  </si>
  <si>
    <t>田川 23</t>
  </si>
  <si>
    <t>8</t>
  </si>
  <si>
    <t>㈱マキテック</t>
  </si>
  <si>
    <t>nisinihon fure-mingu kyouryokukai</t>
  </si>
  <si>
    <t>田川 24</t>
  </si>
  <si>
    <t>星野正幸　日程変更</t>
  </si>
  <si>
    <t>星野正幸</t>
  </si>
  <si>
    <t>星野正幸　間違い</t>
    <rPh sb="2" eb="4">
      <t>マサユキ</t>
    </rPh>
    <phoneticPr fontId="3"/>
  </si>
  <si>
    <t>星野正幸</t>
    <rPh sb="2" eb="4">
      <t>マサユキ</t>
    </rPh>
    <phoneticPr fontId="3"/>
  </si>
  <si>
    <t>中島　克彦(hoshinoSS)</t>
  </si>
  <si>
    <t>研究開発C[大研修室]</t>
    <rPh sb="0" eb="4">
      <t>ケンキュウカイハツ</t>
    </rPh>
    <rPh sb="6" eb="10">
      <t>ダイケンシュウシツ</t>
    </rPh>
    <phoneticPr fontId="3"/>
  </si>
  <si>
    <t>ポリテク飯塚[フォーク訓練場]</t>
    <rPh sb="4" eb="6">
      <t>イイヅカ</t>
    </rPh>
    <rPh sb="11" eb="14">
      <t>クンレンジョウ</t>
    </rPh>
    <phoneticPr fontId="3"/>
  </si>
  <si>
    <t>ポリテク飯塚[多目的ホール]</t>
    <rPh sb="4" eb="6">
      <t>イイヅカ</t>
    </rPh>
    <rPh sb="7" eb="10">
      <t>タモクテキ</t>
    </rPh>
    <phoneticPr fontId="3"/>
  </si>
  <si>
    <t>ポリテク飯塚[多目的､溶接実習場]</t>
    <rPh sb="4" eb="6">
      <t>イイヅカ</t>
    </rPh>
    <rPh sb="7" eb="10">
      <t>タモクテキ</t>
    </rPh>
    <rPh sb="11" eb="16">
      <t>ヨウセツジッシュウジョウ</t>
    </rPh>
    <phoneticPr fontId="3"/>
  </si>
  <si>
    <t>研究開発C[会議室１５]</t>
    <rPh sb="0" eb="4">
      <t>ケンキュウカイハツ</t>
    </rPh>
    <rPh sb="6" eb="8">
      <t>カイギ</t>
    </rPh>
    <rPh sb="8" eb="9">
      <t>シツ</t>
    </rPh>
    <phoneticPr fontId="3"/>
  </si>
  <si>
    <t>5/14:田川高等</t>
    <rPh sb="5" eb="7">
      <t>タガワ</t>
    </rPh>
    <rPh sb="7" eb="9">
      <t>コウトウ</t>
    </rPh>
    <phoneticPr fontId="3"/>
  </si>
  <si>
    <t>田川建設会館</t>
    <rPh sb="0" eb="2">
      <t>タガワ</t>
    </rPh>
    <rPh sb="2" eb="6">
      <t>ケンセツカイカン</t>
    </rPh>
    <phoneticPr fontId="3"/>
  </si>
  <si>
    <t>直方ADOX別館</t>
    <rPh sb="0" eb="2">
      <t>ノオガタ</t>
    </rPh>
    <rPh sb="6" eb="8">
      <t>ベッカン</t>
    </rPh>
    <phoneticPr fontId="3"/>
  </si>
  <si>
    <t>直方ADOX本館</t>
    <rPh sb="0" eb="2">
      <t>ノオガタ</t>
    </rPh>
    <rPh sb="6" eb="8">
      <t>ホンカン</t>
    </rPh>
    <phoneticPr fontId="3"/>
  </si>
  <si>
    <t>日本スピン　宮内</t>
  </si>
  <si>
    <t>中村</t>
  </si>
  <si>
    <t>訂正　津久見車輛</t>
  </si>
  <si>
    <t>日本スピン追加</t>
  </si>
  <si>
    <t>日鉄環境エネルギー</t>
  </si>
  <si>
    <t>㈱巧電社</t>
  </si>
  <si>
    <t>田川 25</t>
  </si>
  <si>
    <t>二宮和人</t>
  </si>
  <si>
    <t>小移動</t>
    <phoneticPr fontId="3"/>
  </si>
  <si>
    <t>-1</t>
    <phoneticPr fontId="3"/>
  </si>
  <si>
    <t>飯塚 2</t>
    <phoneticPr fontId="3"/>
  </si>
  <si>
    <t>中島ダブル登録の為、削除</t>
  </si>
  <si>
    <t>訂正：日本スピン余分に入力</t>
  </si>
  <si>
    <t>渡辺理恵</t>
  </si>
  <si>
    <t>嘉穂造園</t>
  </si>
  <si>
    <t>ニシオ工販：木下</t>
  </si>
  <si>
    <t>ニッテツ㈱</t>
  </si>
  <si>
    <t>田川 26</t>
  </si>
  <si>
    <t>コウエイ技建</t>
  </si>
  <si>
    <t>ニッテツ</t>
  </si>
  <si>
    <t>麻生田川コンクリート</t>
  </si>
  <si>
    <t>ＣＲＣ</t>
  </si>
  <si>
    <t>トヨキン九州</t>
  </si>
  <si>
    <t>田川 27</t>
  </si>
  <si>
    <t>田川 28</t>
  </si>
  <si>
    <t>筑豊アローサービス</t>
  </si>
  <si>
    <t>田川 29</t>
  </si>
  <si>
    <t>友和工業</t>
  </si>
  <si>
    <t>㈱左尾電機</t>
  </si>
  <si>
    <t>奥本塗装</t>
  </si>
  <si>
    <t>+16</t>
  </si>
  <si>
    <t>7/11研究開発C</t>
    <rPh sb="4" eb="8">
      <t>ケンキュウカイハツ</t>
    </rPh>
    <phoneticPr fontId="3"/>
  </si>
  <si>
    <t>田川 22</t>
  </si>
  <si>
    <t/>
  </si>
  <si>
    <t>福岡東</t>
  </si>
  <si>
    <t>大信機設</t>
  </si>
  <si>
    <t>アムコーテクノロジー</t>
  </si>
  <si>
    <t>来社</t>
  </si>
  <si>
    <t>ティネック</t>
  </si>
  <si>
    <t>HSE</t>
  </si>
  <si>
    <t>+26</t>
  </si>
  <si>
    <t>共同建設</t>
  </si>
  <si>
    <t>岡田よしひろ</t>
  </si>
  <si>
    <t>-13</t>
  </si>
  <si>
    <t>+13</t>
  </si>
  <si>
    <t>吉田　健司</t>
  </si>
  <si>
    <t>愛知陸運㈱</t>
  </si>
  <si>
    <t>川西あさみ</t>
  </si>
  <si>
    <t>極東開発</t>
  </si>
  <si>
    <t>岩口</t>
  </si>
  <si>
    <t>㈲日本相互運輸</t>
  </si>
  <si>
    <t>ゲオ</t>
  </si>
  <si>
    <t>筑豊印刷</t>
  </si>
  <si>
    <t>昭和電気接点</t>
  </si>
  <si>
    <t>米本総建</t>
  </si>
  <si>
    <t>上原</t>
  </si>
  <si>
    <t>麻生第1工場</t>
  </si>
  <si>
    <t>津久見車輛</t>
    <phoneticPr fontId="3"/>
  </si>
  <si>
    <t>アムコ</t>
  </si>
  <si>
    <t>岡部マイカ工業所</t>
  </si>
  <si>
    <t>金子食品</t>
  </si>
  <si>
    <t>麻生筑豊コンクリート</t>
  </si>
  <si>
    <t>福井板金工業</t>
  </si>
  <si>
    <t>岡部マイカ</t>
  </si>
  <si>
    <t>㈲二葉商会</t>
  </si>
  <si>
    <t>藤川紙業</t>
  </si>
  <si>
    <t>野田組</t>
  </si>
  <si>
    <t>㈱サステック</t>
  </si>
  <si>
    <t>㈱中央産業</t>
  </si>
  <si>
    <t>嘉穂園芸　日程変更</t>
  </si>
  <si>
    <t>高山建塗</t>
  </si>
  <si>
    <t>共同建設　追加</t>
  </si>
  <si>
    <t>双葉商会</t>
  </si>
  <si>
    <t>飯塚２</t>
    <rPh sb="0" eb="2">
      <t>イイヅカ</t>
    </rPh>
    <phoneticPr fontId="3"/>
  </si>
  <si>
    <t>岡本</t>
  </si>
  <si>
    <t>タイセイプラス</t>
  </si>
  <si>
    <t>岡崎製作所</t>
  </si>
  <si>
    <t>空研工業</t>
  </si>
  <si>
    <t>岡部工事</t>
  </si>
  <si>
    <t>藤岡</t>
  </si>
  <si>
    <t>田鶴原</t>
  </si>
  <si>
    <t>たずはら</t>
  </si>
  <si>
    <t>篠崎</t>
  </si>
  <si>
    <t>太平洋工業</t>
  </si>
  <si>
    <t>勝英空調</t>
  </si>
  <si>
    <t>フジクリーン　日程変更11/21へ</t>
  </si>
  <si>
    <t>國分信男</t>
  </si>
  <si>
    <t>村上ホーム</t>
  </si>
  <si>
    <t>ハーネス</t>
    <phoneticPr fontId="3"/>
  </si>
  <si>
    <t>エフイイー</t>
  </si>
  <si>
    <t>中野</t>
  </si>
  <si>
    <t>パルタック</t>
  </si>
  <si>
    <t>中村英昭</t>
  </si>
  <si>
    <t>遅刻、休み</t>
  </si>
  <si>
    <t>ＪＲエンジニアリング</t>
  </si>
  <si>
    <t>岩崎あきら</t>
  </si>
  <si>
    <t>友和工業　日程変更2名</t>
  </si>
  <si>
    <t>倉石ひかる</t>
  </si>
  <si>
    <t>=2</t>
  </si>
  <si>
    <t>北原信行</t>
  </si>
  <si>
    <t>野崎あきら</t>
  </si>
  <si>
    <t>海老善屋</t>
  </si>
  <si>
    <t>飯塚１・１・１</t>
    <rPh sb="0" eb="2">
      <t>イイヅカ</t>
    </rPh>
    <phoneticPr fontId="3"/>
  </si>
  <si>
    <t>HOWA九州　日程変更</t>
    <rPh sb="7" eb="11">
      <t>ニッテイヘンコウ</t>
    </rPh>
    <phoneticPr fontId="3"/>
  </si>
  <si>
    <t>HOWA九州　玉井　日程変更</t>
    <rPh sb="10" eb="14">
      <t>ニッテイヘンコウ</t>
    </rPh>
    <phoneticPr fontId="3"/>
  </si>
  <si>
    <t>HOWA九州　大塚　日程変更</t>
    <rPh sb="7" eb="9">
      <t>オオツカ</t>
    </rPh>
    <rPh sb="10" eb="14">
      <t>ニッテイヘンコウ</t>
    </rPh>
    <phoneticPr fontId="3"/>
  </si>
  <si>
    <t>日本道路</t>
  </si>
  <si>
    <t>九州工業大学情報工学部</t>
  </si>
  <si>
    <t>佐藤</t>
  </si>
  <si>
    <t>アイテック立石　日程変更</t>
  </si>
  <si>
    <t>アイテック立石</t>
  </si>
  <si>
    <t>ダイシン工業</t>
  </si>
  <si>
    <t>㈱リキマン</t>
  </si>
  <si>
    <t>田原電設</t>
  </si>
  <si>
    <t>九州クボタ化成　11月へ日程変更</t>
  </si>
  <si>
    <t>九州クボタ化成　7月から日程変更</t>
  </si>
  <si>
    <t>原田</t>
  </si>
  <si>
    <t>協同建設</t>
  </si>
  <si>
    <t>アジア航測</t>
  </si>
  <si>
    <t>白金こうき</t>
  </si>
  <si>
    <t>平嶋</t>
  </si>
  <si>
    <t>白金</t>
  </si>
  <si>
    <t>白金弘毅</t>
  </si>
  <si>
    <t>畑中、阿久根</t>
  </si>
  <si>
    <t>重複：阿久根、畑迫</t>
  </si>
  <si>
    <t>英彦山　ホテル</t>
  </si>
  <si>
    <t>㈱富士</t>
  </si>
  <si>
    <t>森企画</t>
  </si>
  <si>
    <t>ＲＢグループ</t>
  </si>
  <si>
    <t>福岡農産㈱</t>
  </si>
  <si>
    <t>9/13で受付終了</t>
    <rPh sb="5" eb="7">
      <t>ウケツケ</t>
    </rPh>
    <rPh sb="7" eb="9">
      <t>シュウリョウ</t>
    </rPh>
    <phoneticPr fontId="3"/>
  </si>
  <si>
    <t>コウワ道路</t>
  </si>
  <si>
    <t>麻生商事㈱第一工場</t>
  </si>
  <si>
    <t>野口一哉</t>
  </si>
  <si>
    <t>野口　一哉</t>
  </si>
  <si>
    <t>幸崎祐仁</t>
  </si>
  <si>
    <t>新輝建設</t>
  </si>
  <si>
    <t>JR九州直方</t>
  </si>
  <si>
    <t>麻生商事㈱第二工場</t>
  </si>
  <si>
    <t>エヌテイ工業</t>
  </si>
  <si>
    <t>エヌテイ工業③から移動</t>
  </si>
  <si>
    <t>淀川</t>
  </si>
  <si>
    <t>永長：最終日に発熱のため10/8山家で受講</t>
  </si>
  <si>
    <t>有松電機</t>
  </si>
  <si>
    <t>松野プレス工業</t>
  </si>
  <si>
    <t>日程変更</t>
  </si>
  <si>
    <t>二宮</t>
  </si>
  <si>
    <t>玉置</t>
  </si>
  <si>
    <t>マツモト産業</t>
  </si>
  <si>
    <t>サンケミカル九州工場</t>
  </si>
  <si>
    <t>エフィー石灰工業</t>
  </si>
  <si>
    <t>クレーン</t>
    <phoneticPr fontId="3"/>
  </si>
  <si>
    <t>+3</t>
    <phoneticPr fontId="3"/>
  </si>
  <si>
    <t>飯塚 11</t>
    <phoneticPr fontId="3"/>
  </si>
  <si>
    <t>フジクリーン工業㈱</t>
    <phoneticPr fontId="3"/>
  </si>
  <si>
    <t>エヌティ工業　移動中止</t>
  </si>
  <si>
    <t>金子空調</t>
  </si>
  <si>
    <t>三好食品工業</t>
  </si>
  <si>
    <t>直方建機</t>
  </si>
  <si>
    <t>追加訂正　大信興業㈱</t>
    <phoneticPr fontId="3"/>
  </si>
  <si>
    <t>白木</t>
  </si>
  <si>
    <t>オリエント産業</t>
  </si>
  <si>
    <t>一番食品</t>
  </si>
  <si>
    <t>㈱西和空輸</t>
  </si>
  <si>
    <t>田中信光</t>
  </si>
  <si>
    <t>三好食品</t>
  </si>
  <si>
    <t>城丸　猛</t>
  </si>
  <si>
    <t>芳雄物流サービス</t>
  </si>
  <si>
    <t>㈱活菜舎</t>
  </si>
  <si>
    <t>古家</t>
  </si>
  <si>
    <t>活菜舎　１６ｈ～２０ｈへ</t>
  </si>
  <si>
    <t>活菜舎　２０ｈへ</t>
  </si>
  <si>
    <t>九州日野自動車㈱</t>
  </si>
  <si>
    <t>九州日野自動車</t>
  </si>
  <si>
    <t>旭川産業</t>
  </si>
  <si>
    <t>九州指月㈱　日程変更　変更先不明</t>
  </si>
  <si>
    <t>九州指月　④⇒⑤へ</t>
  </si>
  <si>
    <t>いすゞ自動車</t>
  </si>
  <si>
    <t>安達レイジ</t>
  </si>
  <si>
    <t>松﨑よしのり</t>
  </si>
  <si>
    <t>ジオスター</t>
  </si>
  <si>
    <t>昭和建設</t>
  </si>
  <si>
    <t>光一工業</t>
  </si>
  <si>
    <t>ヒンカエアコムー㈱</t>
  </si>
  <si>
    <t>稲葉</t>
  </si>
  <si>
    <t>宗岡</t>
  </si>
  <si>
    <t>田川１</t>
    <rPh sb="0" eb="2">
      <t>タガワイイタガワ</t>
    </rPh>
    <phoneticPr fontId="3"/>
  </si>
  <si>
    <t>うりゅう　てつや</t>
  </si>
  <si>
    <t>うりゅう</t>
  </si>
  <si>
    <t>渡辺プレス工業</t>
  </si>
  <si>
    <t>090-8633-8785</t>
  </si>
  <si>
    <t>水城　武俊</t>
  </si>
  <si>
    <t>麻生商事㈱</t>
  </si>
  <si>
    <t>岡崎</t>
    <rPh sb="0" eb="2">
      <t>オカザキ</t>
    </rPh>
    <phoneticPr fontId="3"/>
  </si>
  <si>
    <t>F-Line</t>
  </si>
  <si>
    <t>リー</t>
  </si>
  <si>
    <t>吉元英二</t>
  </si>
  <si>
    <t>ポリテク飯塚[駐車場]</t>
    <rPh sb="4" eb="6">
      <t>イイヅカ</t>
    </rPh>
    <rPh sb="7" eb="10">
      <t>チュウシャジョウ</t>
    </rPh>
    <phoneticPr fontId="3"/>
  </si>
  <si>
    <t>吉川→2/3若松へ</t>
  </si>
  <si>
    <t>外人2人 キャンセル</t>
  </si>
  <si>
    <t>豊和</t>
  </si>
  <si>
    <t>ＬＥＳ</t>
  </si>
  <si>
    <t>碓井運送2月→12月</t>
  </si>
  <si>
    <t>R05年度</t>
    <rPh sb="3" eb="5">
      <t>ネンド</t>
    </rPh>
    <phoneticPr fontId="4"/>
  </si>
  <si>
    <t>安立　日程変更</t>
  </si>
  <si>
    <t>ＬＥＳ日程変更</t>
  </si>
  <si>
    <t>㈲豊明</t>
  </si>
  <si>
    <t>連合会：学科2名</t>
    <rPh sb="0" eb="3">
      <t>レンゴウカイ</t>
    </rPh>
    <rPh sb="4" eb="6">
      <t>ガッカ</t>
    </rPh>
    <rPh sb="7" eb="8">
      <t>メイ</t>
    </rPh>
    <phoneticPr fontId="3"/>
  </si>
  <si>
    <t>Hpwa九州　コロナ</t>
  </si>
  <si>
    <t>Howa九州 コロナで日程変更</t>
  </si>
  <si>
    <t>ＮＯＫ　コロナ濃厚日程変更</t>
  </si>
  <si>
    <t>=1</t>
  </si>
  <si>
    <t>沢井製薬　第一工場</t>
  </si>
  <si>
    <t>連合会：学科3名</t>
    <rPh sb="0" eb="3">
      <t>レンゴウカイ</t>
    </rPh>
    <rPh sb="4" eb="6">
      <t>ガッカ</t>
    </rPh>
    <rPh sb="7" eb="8">
      <t>メイ</t>
    </rPh>
    <phoneticPr fontId="3"/>
  </si>
  <si>
    <t>ADOX福岡</t>
    <rPh sb="4" eb="6">
      <t>フクオカ</t>
    </rPh>
    <phoneticPr fontId="3"/>
  </si>
  <si>
    <t>研究開発C</t>
    <rPh sb="0" eb="4">
      <t>ケンキュウカイハツ</t>
    </rPh>
    <phoneticPr fontId="3"/>
  </si>
  <si>
    <t>ポリテク飯塚[多目的]</t>
    <rPh sb="9" eb="10">
      <t>テキ</t>
    </rPh>
    <phoneticPr fontId="3"/>
  </si>
  <si>
    <t>ポリテク飯塚[溶接実習場]</t>
    <rPh sb="4" eb="6">
      <t>イイヅカ</t>
    </rPh>
    <rPh sb="7" eb="12">
      <t>ヨウセツジッシュウジョウ</t>
    </rPh>
    <phoneticPr fontId="3"/>
  </si>
  <si>
    <t>いけぐちしのぶ</t>
  </si>
  <si>
    <t>㈱サンキ</t>
  </si>
  <si>
    <t>西田</t>
  </si>
  <si>
    <t>㈱章豊建設</t>
  </si>
  <si>
    <t>NOK原田　キャンセル</t>
  </si>
  <si>
    <t>個人</t>
  </si>
  <si>
    <t>㈲エクセ</t>
  </si>
  <si>
    <t>西山</t>
    <rPh sb="0" eb="2">
      <t>ニシヤマ</t>
    </rPh>
    <phoneticPr fontId="3"/>
  </si>
  <si>
    <t>NTCM福岡工場</t>
  </si>
  <si>
    <t>ベスト製作所</t>
  </si>
  <si>
    <t>伊万里木材市場</t>
  </si>
  <si>
    <t>沢井製薬㈱第一</t>
  </si>
  <si>
    <t>沢井製薬㈱九州工場</t>
  </si>
  <si>
    <t>三和工業</t>
  </si>
  <si>
    <t>桐山</t>
    <rPh sb="0" eb="2">
      <t>キリヤマ</t>
    </rPh>
    <phoneticPr fontId="3"/>
  </si>
  <si>
    <t>穂坂牧場</t>
  </si>
  <si>
    <t>大庭</t>
  </si>
  <si>
    <t>LES日程変更</t>
  </si>
  <si>
    <t>駒山鉄工所</t>
  </si>
  <si>
    <t>安達</t>
  </si>
  <si>
    <t>安達　日程変更</t>
  </si>
  <si>
    <t>直鞍１・飯塚１</t>
    <rPh sb="0" eb="2">
      <t>チョクアン</t>
    </rPh>
    <rPh sb="4" eb="6">
      <t>イイヅカ</t>
    </rPh>
    <phoneticPr fontId="3"/>
  </si>
  <si>
    <t>ＳＴＭ石灰㈱</t>
  </si>
  <si>
    <t>桐山　実技補習</t>
    <rPh sb="0" eb="2">
      <t>キリヤマ</t>
    </rPh>
    <rPh sb="3" eb="5">
      <t>ジツギ</t>
    </rPh>
    <rPh sb="5" eb="7">
      <t>ホシュウ</t>
    </rPh>
    <phoneticPr fontId="3"/>
  </si>
  <si>
    <t>筑液化ガス</t>
  </si>
  <si>
    <t>㈱兼子</t>
  </si>
  <si>
    <t>㈱サン・ケミカル</t>
  </si>
  <si>
    <t>飯塚ガス</t>
  </si>
  <si>
    <t>筑豊製作所　日程変更</t>
  </si>
  <si>
    <t>大山銀平　日程変更</t>
    <rPh sb="5" eb="9">
      <t>ニッテイヘンコウ</t>
    </rPh>
    <phoneticPr fontId="3"/>
  </si>
  <si>
    <t>麻生商事第3</t>
  </si>
  <si>
    <t>麻生商事　越智</t>
  </si>
  <si>
    <t>麻生商事</t>
  </si>
  <si>
    <t>早曇商事</t>
  </si>
  <si>
    <t>川上りょう</t>
  </si>
  <si>
    <t>兼子　3/22→移動</t>
  </si>
  <si>
    <t>新和建設</t>
  </si>
  <si>
    <t>親和建設</t>
  </si>
  <si>
    <t>t太平洋工業</t>
  </si>
  <si>
    <t>麻生商事㈱第一</t>
  </si>
  <si>
    <t>タクミ総業</t>
  </si>
  <si>
    <t>上野菜美</t>
  </si>
  <si>
    <t>遠賀電子㈱</t>
  </si>
  <si>
    <t>田川テキスト持参</t>
    <rPh sb="0" eb="2">
      <t>タガワ</t>
    </rPh>
    <rPh sb="6" eb="8">
      <t>ジサン</t>
    </rPh>
    <phoneticPr fontId="3"/>
  </si>
  <si>
    <t>あだち</t>
  </si>
  <si>
    <t>+2</t>
    <phoneticPr fontId="3"/>
  </si>
  <si>
    <t>米田だいすけ</t>
  </si>
  <si>
    <t>田中　渉</t>
  </si>
  <si>
    <t>藤田　良太</t>
  </si>
  <si>
    <t>社会福祉法人　親孝会</t>
  </si>
  <si>
    <t>古谷金物店</t>
  </si>
  <si>
    <t>山九工業</t>
  </si>
  <si>
    <t>久保山</t>
  </si>
  <si>
    <t>杉本しんたろう</t>
  </si>
  <si>
    <t>野口鉄平</t>
  </si>
  <si>
    <t>フタバ九州</t>
  </si>
  <si>
    <t>五友プラント工業</t>
  </si>
  <si>
    <t>太平洋コンサルタント</t>
  </si>
  <si>
    <t>清水　丈典</t>
  </si>
  <si>
    <t>山下</t>
    <rPh sb="0" eb="2">
      <t>ヤマシタ</t>
    </rPh>
    <phoneticPr fontId="3"/>
  </si>
  <si>
    <t>親和電設</t>
  </si>
  <si>
    <t>ふくおか県央環境広域</t>
  </si>
  <si>
    <t>田中機工</t>
  </si>
  <si>
    <t>藤井精工</t>
  </si>
  <si>
    <t>サンケミカル</t>
  </si>
  <si>
    <t>化学物質管理者</t>
    <rPh sb="0" eb="2">
      <t>カガク</t>
    </rPh>
    <rPh sb="2" eb="4">
      <t>ブッシツ</t>
    </rPh>
    <rPh sb="4" eb="6">
      <t>カンリ</t>
    </rPh>
    <rPh sb="6" eb="7">
      <t>シャ</t>
    </rPh>
    <phoneticPr fontId="3"/>
  </si>
  <si>
    <t>化学管理</t>
    <rPh sb="0" eb="2">
      <t>カガク</t>
    </rPh>
    <rPh sb="2" eb="4">
      <t>カンリ</t>
    </rPh>
    <phoneticPr fontId="3"/>
  </si>
  <si>
    <t>ゲオ飯塚秋松店</t>
  </si>
  <si>
    <t>甲陵樹脂工業</t>
  </si>
  <si>
    <t>ゲオ飯塚　幸袋</t>
  </si>
  <si>
    <t>直方建機①移動</t>
  </si>
  <si>
    <t>化学管理</t>
  </si>
  <si>
    <t>田川 17</t>
  </si>
  <si>
    <t>タカハ機工</t>
  </si>
  <si>
    <t>岡崎製作所九州工場</t>
  </si>
  <si>
    <t>田川 18</t>
  </si>
  <si>
    <t>田川 19</t>
  </si>
  <si>
    <t>ＮＯＫエラストマー</t>
  </si>
  <si>
    <t>㈱田川中村</t>
  </si>
  <si>
    <t>瀬川</t>
  </si>
  <si>
    <t>西田　耕</t>
  </si>
  <si>
    <t>清水　日程変更</t>
  </si>
  <si>
    <t>二瀬窯業㈱</t>
  </si>
  <si>
    <t>瀬川　10月に日程変更</t>
  </si>
  <si>
    <t>瀬川　日程変更</t>
  </si>
  <si>
    <t>+8</t>
  </si>
  <si>
    <t>㈲前建工業</t>
  </si>
  <si>
    <t>前田建設㈱</t>
  </si>
  <si>
    <t>新町計装</t>
  </si>
  <si>
    <t>レゾナック・オートモーティブ・プロダクツ</t>
  </si>
  <si>
    <t>松本てつじ</t>
  </si>
  <si>
    <t>㈱ノダック</t>
  </si>
  <si>
    <t>前田建設</t>
  </si>
  <si>
    <t>前建</t>
    <rPh sb="1" eb="2">
      <t>ケン</t>
    </rPh>
    <phoneticPr fontId="3"/>
  </si>
  <si>
    <t>匠総業</t>
  </si>
  <si>
    <t>㈲アーク</t>
  </si>
  <si>
    <t>田川1・直鞍2</t>
    <rPh sb="0" eb="2">
      <t>タガワ</t>
    </rPh>
    <rPh sb="4" eb="6">
      <t>チョクアン</t>
    </rPh>
    <phoneticPr fontId="3"/>
  </si>
  <si>
    <t>㈱九州標識</t>
  </si>
  <si>
    <t>久栄</t>
  </si>
  <si>
    <t>アーク</t>
  </si>
  <si>
    <t>九州マルフジ建材</t>
  </si>
  <si>
    <t>福岡酸素</t>
  </si>
  <si>
    <t>訂正：近藤エンジニアリング</t>
  </si>
  <si>
    <t>津久見車輛整備</t>
  </si>
  <si>
    <t>佐藤コンクリート工場</t>
  </si>
  <si>
    <t>ドウワテクノス</t>
  </si>
  <si>
    <t>日野自動車</t>
  </si>
  <si>
    <t>石橋翔太</t>
  </si>
  <si>
    <t>太駄</t>
  </si>
  <si>
    <t>パイオラックス九州　8/22～移動</t>
  </si>
  <si>
    <t>九州指月 間違い予約</t>
  </si>
  <si>
    <t>川上</t>
  </si>
  <si>
    <t>江藤まさあき</t>
  </si>
  <si>
    <t>幸袋テクノ　日程変更</t>
  </si>
  <si>
    <t>幸袋テクノ日程変更</t>
  </si>
  <si>
    <t>飯塚恵仁会</t>
  </si>
  <si>
    <t>日本タングステン</t>
  </si>
  <si>
    <t>内田　日程変更</t>
  </si>
  <si>
    <t>飯塚 9</t>
    <phoneticPr fontId="3"/>
  </si>
  <si>
    <t>訂正</t>
    <phoneticPr fontId="3"/>
  </si>
  <si>
    <t>米田　①⇒③へ</t>
  </si>
  <si>
    <t>研究開発C[多目的ホール]</t>
    <rPh sb="0" eb="4">
      <t>ケンキュウカイハツ</t>
    </rPh>
    <rPh sb="6" eb="9">
      <t>タモクテキ</t>
    </rPh>
    <phoneticPr fontId="3"/>
  </si>
  <si>
    <t>トヨテツ</t>
  </si>
  <si>
    <t>イワキン工業</t>
  </si>
  <si>
    <t>飯塚 5</t>
    <phoneticPr fontId="3"/>
  </si>
  <si>
    <t>田川 30</t>
  </si>
  <si>
    <t>山文</t>
  </si>
  <si>
    <t>久保山①⇒②移動</t>
  </si>
  <si>
    <t>春本：11月に日程変更</t>
  </si>
  <si>
    <t>春本：7月から日程変更</t>
  </si>
  <si>
    <t>松田　りょうたろう</t>
  </si>
  <si>
    <t>木生産業</t>
  </si>
  <si>
    <t>見田政好</t>
  </si>
  <si>
    <t>ドーケン</t>
  </si>
  <si>
    <t>光製作所</t>
  </si>
  <si>
    <t>上杉スプリング商会</t>
  </si>
  <si>
    <t>九州北部がすセンター</t>
  </si>
  <si>
    <t>竹上　駿</t>
  </si>
  <si>
    <t>直鞍の移動者1名をプラスした</t>
    <rPh sb="0" eb="2">
      <t>チョクアン</t>
    </rPh>
    <phoneticPr fontId="3"/>
  </si>
  <si>
    <t>中外</t>
  </si>
  <si>
    <t>上組</t>
  </si>
  <si>
    <t>名糖乳業</t>
  </si>
  <si>
    <t>ミツミ電機</t>
  </si>
  <si>
    <t>山東商事</t>
  </si>
  <si>
    <t>椿　愛希斗</t>
  </si>
  <si>
    <t>石松</t>
  </si>
  <si>
    <t>サンケミカル九州</t>
  </si>
  <si>
    <t>半田電設工業</t>
  </si>
  <si>
    <t>半田電設</t>
  </si>
  <si>
    <t>飯塚1</t>
    <rPh sb="0" eb="2">
      <t>イイヅカ</t>
    </rPh>
    <phoneticPr fontId="3"/>
  </si>
  <si>
    <t>クボタロジスティクス</t>
  </si>
  <si>
    <t>トヨテツ福岡</t>
  </si>
  <si>
    <t>沢井製薬　第二</t>
  </si>
  <si>
    <t>沢井製薬㈱第二</t>
  </si>
  <si>
    <t>松本産業</t>
  </si>
  <si>
    <t>日之出工業</t>
  </si>
  <si>
    <t>九州酸素　10/12から変更</t>
  </si>
  <si>
    <t>中島ゆうき</t>
  </si>
  <si>
    <t>+11</t>
  </si>
  <si>
    <t>ひよ子</t>
  </si>
  <si>
    <t>沢井製薬㈱九州第二</t>
  </si>
  <si>
    <t>三和金属</t>
  </si>
  <si>
    <t>愛知陸運</t>
  </si>
  <si>
    <t>立岩病院</t>
  </si>
  <si>
    <t>かまた病院</t>
  </si>
  <si>
    <t>㈱ヒロタニ</t>
  </si>
  <si>
    <t>ﾔﾏﾀﾞｴﾝｼﾞﾆｱ</t>
  </si>
  <si>
    <t>九州白水</t>
  </si>
  <si>
    <t>九州特殊電線</t>
  </si>
  <si>
    <t>㈱パルタック</t>
  </si>
  <si>
    <t>田川中村</t>
  </si>
  <si>
    <t>大森外科</t>
  </si>
  <si>
    <t>ひよこ</t>
  </si>
  <si>
    <t>ひよ子削除</t>
  </si>
  <si>
    <t>ワイエスフード株式会社</t>
  </si>
  <si>
    <t>スズキ</t>
  </si>
  <si>
    <t>イーエムアイ</t>
  </si>
  <si>
    <t>連合会 19</t>
  </si>
  <si>
    <t>上杉スプリング　日程変更</t>
  </si>
  <si>
    <t>上杉スプリング</t>
  </si>
  <si>
    <t>舞鶴設備工業</t>
  </si>
  <si>
    <t>スズキ　削除</t>
  </si>
  <si>
    <t>本田機工　山家より変更</t>
  </si>
  <si>
    <t>丸誠技工</t>
  </si>
  <si>
    <t>鈴木　隼人</t>
  </si>
  <si>
    <t>福豊帝酸　日程変更</t>
  </si>
  <si>
    <t>鈴木</t>
  </si>
  <si>
    <t>鎌田病院</t>
  </si>
  <si>
    <t>ミツミ</t>
  </si>
  <si>
    <t>連合会 27</t>
  </si>
  <si>
    <t>マクセル　イズミ</t>
  </si>
  <si>
    <t>サワダ</t>
  </si>
  <si>
    <t>保護具管理責任者</t>
    <rPh sb="0" eb="3">
      <t>ホゴグ</t>
    </rPh>
    <rPh sb="3" eb="5">
      <t>カンリ</t>
    </rPh>
    <rPh sb="5" eb="8">
      <t>セキニンシャ</t>
    </rPh>
    <phoneticPr fontId="3"/>
  </si>
  <si>
    <t>保護具</t>
    <rPh sb="0" eb="3">
      <t>ホゴグ</t>
    </rPh>
    <phoneticPr fontId="3"/>
  </si>
  <si>
    <t>マスクフィットテスト</t>
    <phoneticPr fontId="3"/>
  </si>
  <si>
    <t>マスク</t>
    <phoneticPr fontId="3"/>
  </si>
  <si>
    <t>保護具</t>
  </si>
  <si>
    <t>若松</t>
    <rPh sb="0" eb="2">
      <t>ワカマツ</t>
    </rPh>
    <phoneticPr fontId="4"/>
  </si>
  <si>
    <t>R06年度</t>
    <rPh sb="3" eb="5">
      <t>ネンド</t>
    </rPh>
    <phoneticPr fontId="4"/>
  </si>
  <si>
    <t>植田　満浩</t>
  </si>
  <si>
    <t>㈱伸和建設</t>
  </si>
  <si>
    <t>アキレス</t>
  </si>
  <si>
    <t>～</t>
    <phoneticPr fontId="3"/>
  </si>
  <si>
    <t>昼休み</t>
    <rPh sb="0" eb="2">
      <t>ヒルヤス</t>
    </rPh>
    <phoneticPr fontId="3"/>
  </si>
  <si>
    <t>予備時間</t>
    <rPh sb="0" eb="4">
      <t>ヨビジカン</t>
    </rPh>
    <phoneticPr fontId="3"/>
  </si>
  <si>
    <t>香月亜美</t>
  </si>
  <si>
    <t>トモス</t>
  </si>
  <si>
    <t>佐藤工業</t>
  </si>
  <si>
    <t>マスク</t>
  </si>
  <si>
    <t>定員</t>
    <rPh sb="0" eb="2">
      <t>テイイン</t>
    </rPh>
    <phoneticPr fontId="3"/>
  </si>
  <si>
    <t>飯塚</t>
    <rPh sb="0" eb="2">
      <t>イイヅカ</t>
    </rPh>
    <phoneticPr fontId="3"/>
  </si>
  <si>
    <t>水口　敬三</t>
  </si>
  <si>
    <t>合計</t>
    <rPh sb="0" eb="2">
      <t>ゴウケイ</t>
    </rPh>
    <phoneticPr fontId="3"/>
  </si>
  <si>
    <t>パーカーアサヒ</t>
  </si>
  <si>
    <t>三池産業機械</t>
  </si>
  <si>
    <t>新　祐一郎</t>
  </si>
  <si>
    <t>桐山　ブリヂストンフローテック</t>
    <rPh sb="0" eb="2">
      <t>キリヤマ</t>
    </rPh>
    <phoneticPr fontId="3"/>
  </si>
  <si>
    <t>マクセルイズミ</t>
  </si>
  <si>
    <t>富士</t>
  </si>
  <si>
    <t>ポリテク飯塚[多目的]</t>
  </si>
  <si>
    <t>ポリテク飯塚[多目的]</t>
    <phoneticPr fontId="3"/>
  </si>
  <si>
    <t>大久保　なおき</t>
  </si>
  <si>
    <t>桐山</t>
    <rPh sb="0" eb="2">
      <t>キリヤマ</t>
    </rPh>
    <phoneticPr fontId="3"/>
  </si>
  <si>
    <t>1/29保護具の訂正</t>
    <rPh sb="4" eb="6">
      <t>ホゴ</t>
    </rPh>
    <rPh sb="6" eb="7">
      <t>グ</t>
    </rPh>
    <rPh sb="8" eb="10">
      <t>テイセイ</t>
    </rPh>
    <phoneticPr fontId="3"/>
  </si>
  <si>
    <t>1/29訂正</t>
    <rPh sb="4" eb="6">
      <t>テイセイ</t>
    </rPh>
    <phoneticPr fontId="3"/>
  </si>
  <si>
    <t>まるぼしフーズ㈱</t>
  </si>
  <si>
    <t>㈱関東製作所</t>
  </si>
  <si>
    <t>森山</t>
  </si>
  <si>
    <t>大藤鉄工</t>
  </si>
  <si>
    <t>森田なぎさ</t>
  </si>
  <si>
    <t>森田　なぎさ</t>
  </si>
  <si>
    <t>フォ</t>
  </si>
  <si>
    <t>フォ</t>
    <phoneticPr fontId="3"/>
  </si>
  <si>
    <t>玉掛</t>
    <phoneticPr fontId="3"/>
  </si>
  <si>
    <t>小移</t>
    <phoneticPr fontId="3"/>
  </si>
  <si>
    <t>ガス</t>
    <phoneticPr fontId="3"/>
  </si>
  <si>
    <t>安衛</t>
    <rPh sb="0" eb="2">
      <t>アンエイ</t>
    </rPh>
    <phoneticPr fontId="4"/>
  </si>
  <si>
    <t>end</t>
    <phoneticPr fontId="3"/>
  </si>
  <si>
    <t>ガス</t>
  </si>
  <si>
    <t>NOKエラストマー</t>
  </si>
  <si>
    <t>本田機工</t>
    <rPh sb="2" eb="4">
      <t>キコウ</t>
    </rPh>
    <phoneticPr fontId="3"/>
  </si>
  <si>
    <t>森田</t>
  </si>
  <si>
    <t>森藤　誠司</t>
  </si>
  <si>
    <t>吉本　徳一</t>
  </si>
  <si>
    <t>桑野　成</t>
  </si>
  <si>
    <t>嘉穂S/S 赤間</t>
  </si>
  <si>
    <t>嘉穂製作所：赤間 日程変更</t>
  </si>
  <si>
    <t>梶原　和彦</t>
  </si>
  <si>
    <t>～</t>
  </si>
  <si>
    <t>嘉穂製作所　日程変更</t>
  </si>
  <si>
    <t>ハーネス</t>
  </si>
  <si>
    <t>日付</t>
    <rPh sb="0" eb="2">
      <t>ヒヅケ</t>
    </rPh>
    <phoneticPr fontId="3"/>
  </si>
  <si>
    <t>佐藤　康幸</t>
  </si>
  <si>
    <t>時刻:10:00～</t>
  </si>
  <si>
    <t>時刻:11:00～</t>
  </si>
  <si>
    <t>三桜工業</t>
  </si>
  <si>
    <t>ハビブオート・ユーズスペアパーツ㈱</t>
  </si>
  <si>
    <t>猿本和之</t>
  </si>
  <si>
    <t>日程変更：ロケット石? 3/12→</t>
  </si>
  <si>
    <t>ロケット石?：日程変更→7/8</t>
  </si>
  <si>
    <t>補正含む</t>
    <rPh sb="0" eb="2">
      <t>ホセイ</t>
    </rPh>
    <rPh sb="2" eb="3">
      <t>フク</t>
    </rPh>
    <phoneticPr fontId="3"/>
  </si>
  <si>
    <t>福岡ADOX別館</t>
    <rPh sb="0" eb="2">
      <t>フクオカ</t>
    </rPh>
    <rPh sb="6" eb="8">
      <t>ベッカン</t>
    </rPh>
    <phoneticPr fontId="3"/>
  </si>
  <si>
    <t>宮崎幸一</t>
  </si>
  <si>
    <t>安衛</t>
  </si>
  <si>
    <t>=3</t>
  </si>
  <si>
    <t>三共アメニテクス</t>
  </si>
  <si>
    <t>リバックス</t>
  </si>
  <si>
    <t>ダポール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</si>
</sst>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/>
      <diagonal/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0" fontId="1" fillId="0" borderId="0"/>
  </cellStyleXfs>
  <cellXfs count="447">
    <xf numFmtId="0" fontId="0" fillId="0" borderId="0" xfId="0"/>
    <xf numFmtId="0" fontId="2" fillId="0" borderId="0" xfId="1" applyFont="1"/>
    <xf numFmtId="0" fontId="5" fillId="0" borderId="0" xfId="1" applyFont="1"/>
    <xf numFmtId="0" fontId="5" fillId="0" borderId="0" xfId="1" applyFont="1" applyAlignment="1">
      <alignment vertical="center"/>
    </xf>
    <xf numFmtId="0" fontId="6" fillId="0" borderId="0" xfId="1" applyFont="1"/>
    <xf numFmtId="0" fontId="7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Continuous" vertical="center"/>
    </xf>
    <xf numFmtId="0" fontId="5" fillId="2" borderId="11" xfId="1" applyFont="1" applyFill="1" applyBorder="1" applyAlignment="1">
      <alignment horizontal="centerContinuous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5" fillId="0" borderId="12" xfId="1" applyFont="1" applyBorder="1" applyAlignment="1">
      <alignment horizontal="centerContinuous" vertical="center"/>
    </xf>
    <xf numFmtId="0" fontId="5" fillId="0" borderId="14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2" borderId="15" xfId="1" applyFont="1" applyFill="1" applyBorder="1" applyAlignment="1">
      <alignment vertical="center"/>
    </xf>
    <xf numFmtId="0" fontId="5" fillId="2" borderId="16" xfId="1" applyFont="1" applyFill="1" applyBorder="1" applyAlignment="1">
      <alignment vertical="center"/>
    </xf>
    <xf numFmtId="0" fontId="5" fillId="2" borderId="17" xfId="1" applyFont="1" applyFill="1" applyBorder="1" applyAlignment="1">
      <alignment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/>
    </xf>
    <xf numFmtId="0" fontId="5" fillId="0" borderId="26" xfId="1" applyFont="1" applyBorder="1" applyAlignment="1">
      <alignment horizontal="center" vertical="center"/>
    </xf>
    <xf numFmtId="56" fontId="5" fillId="0" borderId="27" xfId="1" applyNumberFormat="1" applyFont="1" applyBorder="1" applyAlignment="1">
      <alignment vertical="center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vertical="center"/>
    </xf>
    <xf numFmtId="0" fontId="5" fillId="0" borderId="29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5" fillId="0" borderId="32" xfId="1" applyFont="1" applyBorder="1" applyAlignment="1">
      <alignment vertical="center"/>
    </xf>
    <xf numFmtId="56" fontId="5" fillId="0" borderId="33" xfId="1" applyNumberFormat="1" applyFont="1" applyBorder="1" applyAlignment="1">
      <alignment vertical="center"/>
    </xf>
    <xf numFmtId="0" fontId="5" fillId="0" borderId="34" xfId="1" applyFont="1" applyBorder="1" applyAlignment="1">
      <alignment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56" fontId="5" fillId="0" borderId="37" xfId="1" applyNumberFormat="1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5" fillId="0" borderId="37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56" fontId="5" fillId="0" borderId="20" xfId="1" applyNumberFormat="1" applyFont="1" applyBorder="1" applyAlignment="1">
      <alignment vertical="center"/>
    </xf>
    <xf numFmtId="0" fontId="1" fillId="0" borderId="31" xfId="1" applyBorder="1" applyAlignment="1">
      <alignment horizontal="center" vertical="center"/>
    </xf>
    <xf numFmtId="56" fontId="5" fillId="0" borderId="43" xfId="1" applyNumberFormat="1" applyFont="1" applyBorder="1" applyAlignment="1">
      <alignment vertical="center"/>
    </xf>
    <xf numFmtId="0" fontId="5" fillId="0" borderId="43" xfId="1" applyFont="1" applyBorder="1" applyAlignment="1">
      <alignment horizontal="center" vertical="center"/>
    </xf>
    <xf numFmtId="0" fontId="5" fillId="0" borderId="44" xfId="1" applyFont="1" applyBorder="1" applyAlignment="1">
      <alignment vertical="center"/>
    </xf>
    <xf numFmtId="0" fontId="5" fillId="0" borderId="45" xfId="1" applyFont="1" applyBorder="1" applyAlignment="1">
      <alignment vertical="center"/>
    </xf>
    <xf numFmtId="0" fontId="5" fillId="0" borderId="46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43" xfId="1" applyFont="1" applyBorder="1" applyAlignment="1">
      <alignment vertical="center"/>
    </xf>
    <xf numFmtId="0" fontId="5" fillId="0" borderId="47" xfId="1" applyFont="1" applyBorder="1" applyAlignment="1">
      <alignment vertical="center"/>
    </xf>
    <xf numFmtId="56" fontId="5" fillId="0" borderId="48" xfId="1" applyNumberFormat="1" applyFont="1" applyBorder="1" applyAlignment="1">
      <alignment vertical="center"/>
    </xf>
    <xf numFmtId="0" fontId="5" fillId="0" borderId="49" xfId="1" applyFont="1" applyBorder="1" applyAlignment="1">
      <alignment vertical="center"/>
    </xf>
    <xf numFmtId="0" fontId="5" fillId="0" borderId="50" xfId="1" applyFont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56" fontId="5" fillId="2" borderId="17" xfId="1" applyNumberFormat="1" applyFont="1" applyFill="1" applyBorder="1" applyAlignment="1">
      <alignment vertical="center"/>
    </xf>
    <xf numFmtId="0" fontId="5" fillId="2" borderId="18" xfId="1" applyFont="1" applyFill="1" applyBorder="1" applyAlignment="1">
      <alignment vertical="center"/>
    </xf>
    <xf numFmtId="0" fontId="5" fillId="2" borderId="51" xfId="1" applyFont="1" applyFill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5" fillId="2" borderId="21" xfId="1" applyFont="1" applyFill="1" applyBorder="1" applyAlignment="1">
      <alignment vertical="center"/>
    </xf>
    <xf numFmtId="0" fontId="5" fillId="2" borderId="22" xfId="1" applyFont="1" applyFill="1" applyBorder="1" applyAlignment="1">
      <alignment vertical="center"/>
    </xf>
    <xf numFmtId="56" fontId="8" fillId="2" borderId="23" xfId="1" applyNumberFormat="1" applyFont="1" applyFill="1" applyBorder="1" applyAlignment="1">
      <alignment vertical="center"/>
    </xf>
    <xf numFmtId="0" fontId="5" fillId="2" borderId="24" xfId="1" applyFont="1" applyFill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0" fontId="1" fillId="0" borderId="31" xfId="1" applyBorder="1" applyAlignment="1">
      <alignment horizontal="center" vertical="center" shrinkToFit="1"/>
    </xf>
    <xf numFmtId="0" fontId="5" fillId="0" borderId="52" xfId="1" applyFont="1" applyBorder="1" applyAlignment="1">
      <alignment vertical="center"/>
    </xf>
    <xf numFmtId="0" fontId="5" fillId="0" borderId="53" xfId="1" applyFont="1" applyBorder="1" applyAlignment="1">
      <alignment vertical="center"/>
    </xf>
    <xf numFmtId="0" fontId="5" fillId="0" borderId="54" xfId="1" applyFont="1" applyBorder="1" applyAlignment="1">
      <alignment vertical="center" shrinkToFit="1"/>
    </xf>
    <xf numFmtId="0" fontId="5" fillId="0" borderId="55" xfId="1" applyFont="1" applyBorder="1" applyAlignment="1">
      <alignment horizontal="center" vertical="center"/>
    </xf>
    <xf numFmtId="56" fontId="5" fillId="0" borderId="56" xfId="1" applyNumberFormat="1" applyFont="1" applyBorder="1" applyAlignment="1">
      <alignment vertical="center"/>
    </xf>
    <xf numFmtId="0" fontId="5" fillId="0" borderId="56" xfId="1" applyFont="1" applyBorder="1" applyAlignment="1">
      <alignment horizontal="center" vertical="center"/>
    </xf>
    <xf numFmtId="0" fontId="5" fillId="0" borderId="57" xfId="1" applyFont="1" applyBorder="1" applyAlignment="1">
      <alignment vertical="center"/>
    </xf>
    <xf numFmtId="0" fontId="5" fillId="0" borderId="58" xfId="1" applyFont="1" applyBorder="1" applyAlignment="1">
      <alignment vertical="center"/>
    </xf>
    <xf numFmtId="0" fontId="5" fillId="0" borderId="59" xfId="1" applyFont="1" applyBorder="1" applyAlignment="1">
      <alignment vertical="center"/>
    </xf>
    <xf numFmtId="0" fontId="5" fillId="0" borderId="60" xfId="1" applyFont="1" applyBorder="1" applyAlignment="1">
      <alignment vertical="center"/>
    </xf>
    <xf numFmtId="0" fontId="5" fillId="0" borderId="61" xfId="1" applyFont="1" applyBorder="1" applyAlignment="1">
      <alignment vertical="center"/>
    </xf>
    <xf numFmtId="0" fontId="5" fillId="0" borderId="50" xfId="1" applyFont="1" applyBorder="1" applyAlignment="1">
      <alignment vertical="center"/>
    </xf>
    <xf numFmtId="0" fontId="5" fillId="0" borderId="62" xfId="1" applyFont="1" applyBorder="1" applyAlignment="1">
      <alignment vertical="center"/>
    </xf>
    <xf numFmtId="56" fontId="5" fillId="0" borderId="63" xfId="1" applyNumberFormat="1" applyFont="1" applyBorder="1" applyAlignment="1">
      <alignment vertical="center"/>
    </xf>
    <xf numFmtId="0" fontId="5" fillId="2" borderId="64" xfId="1" applyFont="1" applyFill="1" applyBorder="1" applyAlignment="1">
      <alignment horizontal="center" vertical="center"/>
    </xf>
    <xf numFmtId="0" fontId="5" fillId="2" borderId="65" xfId="1" applyFont="1" applyFill="1" applyBorder="1" applyAlignment="1">
      <alignment horizontal="center" vertical="center"/>
    </xf>
    <xf numFmtId="56" fontId="5" fillId="2" borderId="66" xfId="1" applyNumberFormat="1" applyFont="1" applyFill="1" applyBorder="1" applyAlignment="1">
      <alignment vertical="center"/>
    </xf>
    <xf numFmtId="0" fontId="5" fillId="2" borderId="66" xfId="1" applyFont="1" applyFill="1" applyBorder="1" applyAlignment="1">
      <alignment horizontal="center" vertical="center"/>
    </xf>
    <xf numFmtId="0" fontId="5" fillId="2" borderId="67" xfId="1" applyFont="1" applyFill="1" applyBorder="1" applyAlignment="1">
      <alignment vertical="center"/>
    </xf>
    <xf numFmtId="0" fontId="5" fillId="2" borderId="68" xfId="1" applyFont="1" applyFill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2" borderId="69" xfId="1" applyFont="1" applyFill="1" applyBorder="1" applyAlignment="1">
      <alignment vertical="center"/>
    </xf>
    <xf numFmtId="0" fontId="5" fillId="2" borderId="64" xfId="1" applyFont="1" applyFill="1" applyBorder="1" applyAlignment="1">
      <alignment vertical="center"/>
    </xf>
    <xf numFmtId="0" fontId="5" fillId="2" borderId="66" xfId="1" applyFont="1" applyFill="1" applyBorder="1" applyAlignment="1">
      <alignment vertical="center"/>
    </xf>
    <xf numFmtId="0" fontId="5" fillId="2" borderId="70" xfId="1" applyFont="1" applyFill="1" applyBorder="1" applyAlignment="1">
      <alignment vertical="center"/>
    </xf>
    <xf numFmtId="56" fontId="5" fillId="2" borderId="10" xfId="1" applyNumberFormat="1" applyFont="1" applyFill="1" applyBorder="1" applyAlignment="1">
      <alignment vertical="center"/>
    </xf>
    <xf numFmtId="0" fontId="5" fillId="3" borderId="24" xfId="1" applyFont="1" applyFill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20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54" xfId="1" applyFont="1" applyBorder="1" applyAlignment="1">
      <alignment vertical="center"/>
    </xf>
    <xf numFmtId="0" fontId="5" fillId="0" borderId="48" xfId="1" applyFont="1" applyBorder="1" applyAlignment="1">
      <alignment vertical="center"/>
    </xf>
    <xf numFmtId="0" fontId="5" fillId="0" borderId="56" xfId="1" applyFont="1" applyBorder="1" applyAlignment="1">
      <alignment vertical="center"/>
    </xf>
    <xf numFmtId="0" fontId="9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5" fillId="3" borderId="64" xfId="1" applyFont="1" applyFill="1" applyBorder="1" applyAlignment="1">
      <alignment vertical="center"/>
    </xf>
    <xf numFmtId="0" fontId="5" fillId="3" borderId="65" xfId="1" applyFont="1" applyFill="1" applyBorder="1" applyAlignment="1">
      <alignment vertical="center"/>
    </xf>
    <xf numFmtId="56" fontId="5" fillId="3" borderId="66" xfId="1" applyNumberFormat="1" applyFont="1" applyFill="1" applyBorder="1" applyAlignment="1">
      <alignment vertical="center"/>
    </xf>
    <xf numFmtId="0" fontId="5" fillId="2" borderId="71" xfId="1" applyFont="1" applyFill="1" applyBorder="1" applyAlignment="1">
      <alignment horizontal="center" vertical="center"/>
    </xf>
    <xf numFmtId="0" fontId="5" fillId="2" borderId="68" xfId="1" applyFont="1" applyFill="1" applyBorder="1" applyAlignment="1">
      <alignment horizontal="center" vertical="center"/>
    </xf>
    <xf numFmtId="0" fontId="5" fillId="2" borderId="69" xfId="1" applyFont="1" applyFill="1" applyBorder="1" applyAlignment="1">
      <alignment horizontal="center" vertical="center"/>
    </xf>
    <xf numFmtId="0" fontId="5" fillId="3" borderId="59" xfId="1" applyFont="1" applyFill="1" applyBorder="1" applyAlignment="1">
      <alignment vertical="center"/>
    </xf>
    <xf numFmtId="0" fontId="5" fillId="3" borderId="72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0" fontId="1" fillId="0" borderId="32" xfId="1" applyBorder="1" applyAlignment="1">
      <alignment vertical="center"/>
    </xf>
    <xf numFmtId="56" fontId="5" fillId="0" borderId="73" xfId="1" applyNumberFormat="1" applyFont="1" applyBorder="1" applyAlignment="1">
      <alignment vertical="center"/>
    </xf>
    <xf numFmtId="0" fontId="5" fillId="0" borderId="73" xfId="1" applyFont="1" applyBorder="1" applyAlignment="1">
      <alignment horizontal="center" vertical="center"/>
    </xf>
    <xf numFmtId="0" fontId="5" fillId="0" borderId="74" xfId="1" applyFont="1" applyBorder="1" applyAlignment="1">
      <alignment vertical="center"/>
    </xf>
    <xf numFmtId="0" fontId="5" fillId="0" borderId="75" xfId="1" applyFont="1" applyBorder="1" applyAlignment="1">
      <alignment vertical="center"/>
    </xf>
    <xf numFmtId="0" fontId="5" fillId="0" borderId="76" xfId="1" applyFont="1" applyBorder="1" applyAlignment="1">
      <alignment vertical="center"/>
    </xf>
    <xf numFmtId="0" fontId="1" fillId="0" borderId="50" xfId="1" applyBorder="1" applyAlignment="1">
      <alignment vertical="center"/>
    </xf>
    <xf numFmtId="0" fontId="1" fillId="0" borderId="60" xfId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56" fontId="5" fillId="0" borderId="17" xfId="1" applyNumberFormat="1" applyFont="1" applyBorder="1" applyAlignment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vertical="center"/>
    </xf>
    <xf numFmtId="0" fontId="5" fillId="0" borderId="51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56" fontId="5" fillId="0" borderId="23" xfId="1" applyNumberFormat="1" applyFont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15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78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 shrinkToFit="1"/>
    </xf>
    <xf numFmtId="0" fontId="10" fillId="0" borderId="32" xfId="1" applyFont="1" applyBorder="1" applyAlignment="1">
      <alignment horizontal="center" vertical="center"/>
    </xf>
    <xf numFmtId="0" fontId="1" fillId="0" borderId="48" xfId="1" applyBorder="1" applyAlignment="1">
      <alignment vertical="center"/>
    </xf>
    <xf numFmtId="0" fontId="10" fillId="0" borderId="73" xfId="1" applyFont="1" applyBorder="1" applyAlignment="1">
      <alignment horizontal="center" vertical="center"/>
    </xf>
    <xf numFmtId="0" fontId="5" fillId="0" borderId="79" xfId="1" applyFont="1" applyBorder="1"/>
    <xf numFmtId="0" fontId="5" fillId="0" borderId="60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/>
    </xf>
    <xf numFmtId="0" fontId="5" fillId="0" borderId="80" xfId="1" applyFont="1" applyBorder="1" applyAlignment="1">
      <alignment vertical="center"/>
    </xf>
    <xf numFmtId="0" fontId="1" fillId="0" borderId="40" xfId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82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5" fillId="3" borderId="3" xfId="1" applyFont="1" applyFill="1" applyBorder="1" applyAlignment="1">
      <alignment vertical="center"/>
    </xf>
    <xf numFmtId="0" fontId="5" fillId="0" borderId="58" xfId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Continuous" vertical="center"/>
    </xf>
    <xf numFmtId="0" fontId="5" fillId="2" borderId="10" xfId="1" applyFont="1" applyFill="1" applyBorder="1" applyAlignment="1">
      <alignment horizontal="centerContinuous" vertical="center"/>
    </xf>
    <xf numFmtId="0" fontId="5" fillId="0" borderId="83" xfId="1" applyFont="1" applyBorder="1" applyAlignment="1">
      <alignment vertical="center"/>
    </xf>
    <xf numFmtId="56" fontId="5" fillId="0" borderId="39" xfId="1" applyNumberFormat="1" applyFont="1" applyBorder="1" applyAlignment="1">
      <alignment vertical="center"/>
    </xf>
    <xf numFmtId="0" fontId="5" fillId="0" borderId="40" xfId="1" applyFont="1" applyBorder="1" applyAlignment="1">
      <alignment horizontal="center" vertical="center"/>
    </xf>
    <xf numFmtId="0" fontId="5" fillId="0" borderId="84" xfId="1" applyFont="1" applyBorder="1" applyAlignment="1">
      <alignment vertical="center"/>
    </xf>
    <xf numFmtId="56" fontId="5" fillId="0" borderId="30" xfId="1" applyNumberFormat="1" applyFont="1" applyBorder="1" applyAlignment="1">
      <alignment vertical="center"/>
    </xf>
    <xf numFmtId="0" fontId="5" fillId="0" borderId="33" xfId="1" applyFont="1" applyBorder="1" applyAlignment="1">
      <alignment horizontal="center" vertical="center"/>
    </xf>
    <xf numFmtId="56" fontId="5" fillId="4" borderId="27" xfId="1" applyNumberFormat="1" applyFont="1" applyFill="1" applyBorder="1" applyAlignment="1">
      <alignment vertical="center"/>
    </xf>
    <xf numFmtId="56" fontId="5" fillId="0" borderId="59" xfId="1" applyNumberFormat="1" applyFont="1" applyBorder="1" applyAlignment="1">
      <alignment vertical="center"/>
    </xf>
    <xf numFmtId="0" fontId="5" fillId="0" borderId="48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78" xfId="1" applyFont="1" applyBorder="1" applyAlignment="1">
      <alignment horizontal="center" vertical="center"/>
    </xf>
    <xf numFmtId="0" fontId="5" fillId="0" borderId="63" xfId="1" applyFont="1" applyBorder="1" applyAlignment="1">
      <alignment horizontal="center" vertical="center"/>
    </xf>
    <xf numFmtId="0" fontId="5" fillId="0" borderId="65" xfId="1" applyFont="1" applyBorder="1" applyAlignment="1">
      <alignment vertical="center"/>
    </xf>
    <xf numFmtId="0" fontId="5" fillId="3" borderId="66" xfId="1" applyFont="1" applyFill="1" applyBorder="1" applyAlignment="1">
      <alignment vertical="center"/>
    </xf>
    <xf numFmtId="0" fontId="5" fillId="2" borderId="85" xfId="1" applyFont="1" applyFill="1" applyBorder="1" applyAlignment="1">
      <alignment horizontal="center" vertical="center"/>
    </xf>
    <xf numFmtId="0" fontId="5" fillId="2" borderId="76" xfId="1" applyFont="1" applyFill="1" applyBorder="1" applyAlignment="1">
      <alignment horizontal="center" vertical="center"/>
    </xf>
    <xf numFmtId="56" fontId="1" fillId="0" borderId="0" xfId="1" applyNumberFormat="1"/>
    <xf numFmtId="20" fontId="1" fillId="0" borderId="0" xfId="1" applyNumberFormat="1"/>
    <xf numFmtId="0" fontId="1" fillId="0" borderId="0" xfId="1"/>
    <xf numFmtId="14" fontId="1" fillId="0" borderId="0" xfId="1" applyNumberFormat="1"/>
    <xf numFmtId="49" fontId="1" fillId="0" borderId="0" xfId="1" applyNumberFormat="1"/>
    <xf numFmtId="56" fontId="1" fillId="2" borderId="0" xfId="1" applyNumberFormat="1" applyFill="1" applyAlignment="1">
      <alignment horizontal="center"/>
    </xf>
    <xf numFmtId="20" fontId="1" fillId="2" borderId="0" xfId="1" applyNumberFormat="1" applyFill="1" applyAlignment="1">
      <alignment horizontal="center"/>
    </xf>
    <xf numFmtId="0" fontId="1" fillId="2" borderId="0" xfId="1" applyFill="1" applyAlignment="1">
      <alignment horizontal="center"/>
    </xf>
    <xf numFmtId="56" fontId="1" fillId="3" borderId="0" xfId="1" applyNumberFormat="1" applyFill="1" applyAlignment="1">
      <alignment horizontal="center"/>
    </xf>
    <xf numFmtId="49" fontId="1" fillId="3" borderId="0" xfId="1" applyNumberFormat="1" applyFill="1"/>
    <xf numFmtId="49" fontId="1" fillId="2" borderId="0" xfId="1" applyNumberFormat="1" applyFill="1" applyAlignment="1">
      <alignment horizontal="center"/>
    </xf>
    <xf numFmtId="0" fontId="5" fillId="0" borderId="25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/>
    </xf>
    <xf numFmtId="0" fontId="5" fillId="5" borderId="30" xfId="1" applyFont="1" applyFill="1" applyBorder="1" applyAlignment="1">
      <alignment vertical="center"/>
    </xf>
    <xf numFmtId="0" fontId="5" fillId="5" borderId="31" xfId="1" applyFont="1" applyFill="1" applyBorder="1" applyAlignment="1">
      <alignment vertical="center"/>
    </xf>
    <xf numFmtId="0" fontId="5" fillId="5" borderId="27" xfId="1" applyFont="1" applyFill="1" applyBorder="1" applyAlignment="1">
      <alignment vertical="center"/>
    </xf>
    <xf numFmtId="0" fontId="5" fillId="5" borderId="32" xfId="1" applyFont="1" applyFill="1" applyBorder="1" applyAlignment="1">
      <alignment vertical="center"/>
    </xf>
    <xf numFmtId="0" fontId="11" fillId="0" borderId="27" xfId="1" applyFont="1" applyBorder="1" applyAlignment="1">
      <alignment horizontal="center" vertical="center"/>
    </xf>
    <xf numFmtId="0" fontId="11" fillId="0" borderId="38" xfId="1" applyFont="1" applyBorder="1" applyAlignment="1">
      <alignment vertical="center"/>
    </xf>
    <xf numFmtId="0" fontId="5" fillId="4" borderId="41" xfId="1" applyFont="1" applyFill="1" applyBorder="1" applyAlignment="1">
      <alignment vertical="center"/>
    </xf>
    <xf numFmtId="0" fontId="5" fillId="6" borderId="27" xfId="1" applyFont="1" applyFill="1" applyBorder="1" applyAlignment="1">
      <alignment horizontal="center" vertical="center"/>
    </xf>
    <xf numFmtId="0" fontId="11" fillId="0" borderId="28" xfId="1" applyFont="1" applyBorder="1" applyAlignment="1">
      <alignment vertical="center"/>
    </xf>
    <xf numFmtId="0" fontId="5" fillId="4" borderId="38" xfId="1" applyFont="1" applyFill="1" applyBorder="1" applyAlignment="1">
      <alignment vertical="center"/>
    </xf>
    <xf numFmtId="0" fontId="13" fillId="0" borderId="31" xfId="1" applyFont="1" applyBorder="1" applyAlignment="1">
      <alignment horizontal="center" vertical="center" shrinkToFit="1"/>
    </xf>
    <xf numFmtId="0" fontId="5" fillId="5" borderId="28" xfId="1" applyFont="1" applyFill="1" applyBorder="1" applyAlignment="1">
      <alignment vertical="center"/>
    </xf>
    <xf numFmtId="0" fontId="5" fillId="5" borderId="52" xfId="1" applyFont="1" applyFill="1" applyBorder="1" applyAlignment="1">
      <alignment vertical="center"/>
    </xf>
    <xf numFmtId="0" fontId="1" fillId="4" borderId="31" xfId="1" applyFill="1" applyBorder="1" applyAlignment="1">
      <alignment horizontal="center" vertical="center"/>
    </xf>
    <xf numFmtId="0" fontId="5" fillId="0" borderId="34" xfId="1" applyFont="1" applyBorder="1" applyAlignment="1">
      <alignment vertical="center" shrinkToFit="1"/>
    </xf>
    <xf numFmtId="0" fontId="5" fillId="2" borderId="40" xfId="1" applyFont="1" applyFill="1" applyBorder="1" applyAlignment="1">
      <alignment horizontal="center" vertical="center"/>
    </xf>
    <xf numFmtId="0" fontId="5" fillId="2" borderId="86" xfId="1" applyFont="1" applyFill="1" applyBorder="1" applyAlignment="1">
      <alignment horizontal="center" vertical="center"/>
    </xf>
    <xf numFmtId="56" fontId="5" fillId="2" borderId="37" xfId="1" applyNumberFormat="1" applyFont="1" applyFill="1" applyBorder="1" applyAlignment="1">
      <alignment vertical="center"/>
    </xf>
    <xf numFmtId="0" fontId="5" fillId="2" borderId="37" xfId="1" applyFont="1" applyFill="1" applyBorder="1" applyAlignment="1">
      <alignment horizontal="center" vertical="center"/>
    </xf>
    <xf numFmtId="0" fontId="5" fillId="2" borderId="87" xfId="1" applyFont="1" applyFill="1" applyBorder="1" applyAlignment="1">
      <alignment vertical="center"/>
    </xf>
    <xf numFmtId="0" fontId="5" fillId="2" borderId="19" xfId="1" applyFont="1" applyFill="1" applyBorder="1" applyAlignment="1">
      <alignment vertical="center"/>
    </xf>
    <xf numFmtId="0" fontId="5" fillId="2" borderId="39" xfId="1" applyFont="1" applyFill="1" applyBorder="1" applyAlignment="1">
      <alignment vertical="center"/>
    </xf>
    <xf numFmtId="0" fontId="5" fillId="2" borderId="40" xfId="1" applyFont="1" applyFill="1" applyBorder="1" applyAlignment="1">
      <alignment vertical="center"/>
    </xf>
    <xf numFmtId="0" fontId="5" fillId="2" borderId="37" xfId="1" applyFont="1" applyFill="1" applyBorder="1" applyAlignment="1">
      <alignment vertical="center"/>
    </xf>
    <xf numFmtId="0" fontId="5" fillId="2" borderId="41" xfId="1" applyFont="1" applyFill="1" applyBorder="1" applyAlignment="1">
      <alignment vertical="center"/>
    </xf>
    <xf numFmtId="56" fontId="5" fillId="2" borderId="20" xfId="1" applyNumberFormat="1" applyFont="1" applyFill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0" fontId="5" fillId="4" borderId="40" xfId="1" applyFont="1" applyFill="1" applyBorder="1" applyAlignment="1">
      <alignment vertical="center"/>
    </xf>
    <xf numFmtId="0" fontId="5" fillId="0" borderId="64" xfId="1" applyFont="1" applyBorder="1" applyAlignment="1">
      <alignment vertical="center"/>
    </xf>
    <xf numFmtId="56" fontId="5" fillId="0" borderId="66" xfId="1" applyNumberFormat="1" applyFont="1" applyBorder="1" applyAlignment="1">
      <alignment vertical="center"/>
    </xf>
    <xf numFmtId="0" fontId="5" fillId="0" borderId="72" xfId="1" applyFont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56" fontId="5" fillId="2" borderId="3" xfId="1" applyNumberFormat="1" applyFont="1" applyFill="1" applyBorder="1" applyAlignment="1">
      <alignment vertical="center"/>
    </xf>
    <xf numFmtId="0" fontId="5" fillId="2" borderId="88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1" fillId="0" borderId="18" xfId="1" applyFont="1" applyBorder="1" applyAlignment="1">
      <alignment vertical="center"/>
    </xf>
    <xf numFmtId="0" fontId="14" fillId="4" borderId="31" xfId="1" applyFont="1" applyFill="1" applyBorder="1" applyAlignment="1">
      <alignment horizontal="center" vertical="center"/>
    </xf>
    <xf numFmtId="0" fontId="5" fillId="5" borderId="39" xfId="1" applyFont="1" applyFill="1" applyBorder="1" applyAlignment="1">
      <alignment vertical="center"/>
    </xf>
    <xf numFmtId="0" fontId="15" fillId="4" borderId="31" xfId="1" applyFont="1" applyFill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" fillId="4" borderId="15" xfId="1" applyFill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11" fillId="0" borderId="61" xfId="1" applyFont="1" applyBorder="1" applyAlignment="1">
      <alignment vertical="center"/>
    </xf>
    <xf numFmtId="0" fontId="5" fillId="0" borderId="87" xfId="1" applyFont="1" applyBorder="1" applyAlignment="1">
      <alignment vertical="center"/>
    </xf>
    <xf numFmtId="56" fontId="5" fillId="0" borderId="21" xfId="1" applyNumberFormat="1" applyFont="1" applyBorder="1" applyAlignment="1">
      <alignment vertical="center"/>
    </xf>
    <xf numFmtId="0" fontId="1" fillId="0" borderId="15" xfId="1" applyBorder="1" applyAlignment="1">
      <alignment horizontal="center" vertical="center"/>
    </xf>
    <xf numFmtId="0" fontId="11" fillId="0" borderId="84" xfId="1" applyFont="1" applyBorder="1" applyAlignment="1">
      <alignment vertical="center"/>
    </xf>
    <xf numFmtId="0" fontId="5" fillId="6" borderId="43" xfId="1" applyFont="1" applyFill="1" applyBorder="1" applyAlignment="1">
      <alignment horizontal="center" vertical="center"/>
    </xf>
    <xf numFmtId="0" fontId="5" fillId="7" borderId="27" xfId="1" applyFont="1" applyFill="1" applyBorder="1" applyAlignment="1">
      <alignment horizontal="center" vertical="center"/>
    </xf>
    <xf numFmtId="0" fontId="5" fillId="4" borderId="60" xfId="1" applyFont="1" applyFill="1" applyBorder="1" applyAlignment="1">
      <alignment horizontal="center" vertical="center"/>
    </xf>
    <xf numFmtId="0" fontId="5" fillId="0" borderId="66" xfId="1" applyFont="1" applyBorder="1" applyAlignment="1">
      <alignment vertical="center"/>
    </xf>
    <xf numFmtId="56" fontId="5" fillId="4" borderId="37" xfId="1" applyNumberFormat="1" applyFont="1" applyFill="1" applyBorder="1" applyAlignment="1">
      <alignment vertical="center"/>
    </xf>
    <xf numFmtId="0" fontId="5" fillId="4" borderId="27" xfId="1" applyFont="1" applyFill="1" applyBorder="1" applyAlignment="1">
      <alignment horizontal="center" vertical="center"/>
    </xf>
    <xf numFmtId="0" fontId="5" fillId="4" borderId="83" xfId="1" applyFont="1" applyFill="1" applyBorder="1" applyAlignment="1">
      <alignment vertical="center"/>
    </xf>
    <xf numFmtId="56" fontId="5" fillId="0" borderId="0" xfId="1" applyNumberFormat="1" applyFont="1"/>
    <xf numFmtId="56" fontId="5" fillId="0" borderId="27" xfId="1" applyNumberFormat="1" applyFont="1" applyBorder="1" applyAlignment="1">
      <alignment vertical="center" wrapText="1"/>
    </xf>
    <xf numFmtId="56" fontId="1" fillId="0" borderId="0" xfId="1" applyNumberFormat="1" applyAlignment="1">
      <alignment wrapText="1"/>
    </xf>
    <xf numFmtId="0" fontId="5" fillId="4" borderId="31" xfId="1" applyFont="1" applyFill="1" applyBorder="1" applyAlignment="1">
      <alignment horizontal="center" vertical="center"/>
    </xf>
    <xf numFmtId="0" fontId="5" fillId="4" borderId="84" xfId="1" applyFont="1" applyFill="1" applyBorder="1" applyAlignment="1">
      <alignment vertical="center"/>
    </xf>
    <xf numFmtId="56" fontId="1" fillId="0" borderId="31" xfId="1" quotePrefix="1" applyNumberFormat="1" applyBorder="1" applyAlignment="1">
      <alignment horizontal="center" vertical="center" shrinkToFit="1"/>
    </xf>
    <xf numFmtId="0" fontId="5" fillId="6" borderId="17" xfId="1" applyFont="1" applyFill="1" applyBorder="1" applyAlignment="1">
      <alignment horizontal="center" vertical="center"/>
    </xf>
    <xf numFmtId="0" fontId="5" fillId="6" borderId="56" xfId="1" applyFont="1" applyFill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5" fillId="0" borderId="89" xfId="1" applyFont="1" applyBorder="1" applyAlignment="1">
      <alignment horizontal="center" vertical="center"/>
    </xf>
    <xf numFmtId="0" fontId="5" fillId="0" borderId="90" xfId="1" applyFont="1" applyBorder="1" applyAlignment="1">
      <alignment horizontal="center" vertical="center"/>
    </xf>
    <xf numFmtId="0" fontId="5" fillId="0" borderId="91" xfId="1" applyFont="1" applyBorder="1" applyAlignment="1">
      <alignment horizontal="center" vertical="center"/>
    </xf>
    <xf numFmtId="0" fontId="5" fillId="0" borderId="92" xfId="1" applyFont="1" applyBorder="1" applyAlignment="1">
      <alignment horizontal="center" vertical="center"/>
    </xf>
    <xf numFmtId="0" fontId="5" fillId="4" borderId="28" xfId="1" applyFont="1" applyFill="1" applyBorder="1" applyAlignment="1">
      <alignment vertical="center"/>
    </xf>
    <xf numFmtId="0" fontId="5" fillId="4" borderId="34" xfId="1" applyFont="1" applyFill="1" applyBorder="1" applyAlignment="1">
      <alignment vertical="center"/>
    </xf>
    <xf numFmtId="0" fontId="5" fillId="8" borderId="30" xfId="1" applyFont="1" applyFill="1" applyBorder="1" applyAlignment="1">
      <alignment vertical="center"/>
    </xf>
    <xf numFmtId="0" fontId="5" fillId="8" borderId="31" xfId="1" applyFont="1" applyFill="1" applyBorder="1" applyAlignment="1">
      <alignment vertical="center"/>
    </xf>
    <xf numFmtId="0" fontId="5" fillId="8" borderId="27" xfId="1" applyFont="1" applyFill="1" applyBorder="1" applyAlignment="1">
      <alignment vertical="center"/>
    </xf>
    <xf numFmtId="0" fontId="5" fillId="8" borderId="32" xfId="1" applyFont="1" applyFill="1" applyBorder="1" applyAlignment="1">
      <alignment vertical="center"/>
    </xf>
    <xf numFmtId="56" fontId="5" fillId="8" borderId="33" xfId="1" applyNumberFormat="1" applyFont="1" applyFill="1" applyBorder="1" applyAlignment="1">
      <alignment vertical="center"/>
    </xf>
    <xf numFmtId="0" fontId="5" fillId="8" borderId="21" xfId="1" applyFont="1" applyFill="1" applyBorder="1" applyAlignment="1">
      <alignment vertical="center"/>
    </xf>
    <xf numFmtId="56" fontId="5" fillId="8" borderId="23" xfId="1" applyNumberFormat="1" applyFont="1" applyFill="1" applyBorder="1" applyAlignment="1">
      <alignment vertical="center"/>
    </xf>
    <xf numFmtId="0" fontId="5" fillId="8" borderId="80" xfId="1" applyFont="1" applyFill="1" applyBorder="1" applyAlignment="1">
      <alignment vertical="center"/>
    </xf>
    <xf numFmtId="56" fontId="5" fillId="8" borderId="39" xfId="1" applyNumberFormat="1" applyFont="1" applyFill="1" applyBorder="1" applyAlignment="1">
      <alignment vertical="center"/>
    </xf>
    <xf numFmtId="56" fontId="5" fillId="4" borderId="33" xfId="1" applyNumberFormat="1" applyFont="1" applyFill="1" applyBorder="1" applyAlignment="1">
      <alignment vertical="center"/>
    </xf>
    <xf numFmtId="0" fontId="1" fillId="4" borderId="0" xfId="1" applyFill="1"/>
    <xf numFmtId="0" fontId="5" fillId="8" borderId="39" xfId="1" applyFont="1" applyFill="1" applyBorder="1" applyAlignment="1">
      <alignment vertical="center"/>
    </xf>
    <xf numFmtId="0" fontId="5" fillId="8" borderId="40" xfId="1" applyFont="1" applyFill="1" applyBorder="1" applyAlignment="1">
      <alignment vertical="center"/>
    </xf>
    <xf numFmtId="0" fontId="5" fillId="8" borderId="38" xfId="1" applyFont="1" applyFill="1" applyBorder="1" applyAlignment="1">
      <alignment vertical="center"/>
    </xf>
    <xf numFmtId="0" fontId="5" fillId="8" borderId="41" xfId="1" applyFont="1" applyFill="1" applyBorder="1" applyAlignment="1">
      <alignment vertical="center"/>
    </xf>
    <xf numFmtId="56" fontId="5" fillId="8" borderId="20" xfId="1" applyNumberFormat="1" applyFont="1" applyFill="1" applyBorder="1" applyAlignment="1">
      <alignment vertical="center"/>
    </xf>
    <xf numFmtId="0" fontId="5" fillId="8" borderId="28" xfId="1" applyFont="1" applyFill="1" applyBorder="1" applyAlignment="1">
      <alignment vertical="center"/>
    </xf>
    <xf numFmtId="0" fontId="5" fillId="8" borderId="52" xfId="1" applyFont="1" applyFill="1" applyBorder="1" applyAlignment="1">
      <alignment vertical="center"/>
    </xf>
    <xf numFmtId="0" fontId="5" fillId="8" borderId="37" xfId="1" applyFont="1" applyFill="1" applyBorder="1" applyAlignment="1">
      <alignment vertical="center"/>
    </xf>
    <xf numFmtId="0" fontId="5" fillId="8" borderId="33" xfId="1" applyFont="1" applyFill="1" applyBorder="1" applyAlignment="1">
      <alignment vertical="center"/>
    </xf>
    <xf numFmtId="0" fontId="1" fillId="8" borderId="32" xfId="1" applyFill="1" applyBorder="1" applyAlignment="1">
      <alignment vertical="center"/>
    </xf>
    <xf numFmtId="0" fontId="5" fillId="8" borderId="76" xfId="1" applyFont="1" applyFill="1" applyBorder="1" applyAlignment="1">
      <alignment vertical="center"/>
    </xf>
    <xf numFmtId="0" fontId="5" fillId="8" borderId="60" xfId="1" applyFont="1" applyFill="1" applyBorder="1" applyAlignment="1">
      <alignment vertical="center"/>
    </xf>
    <xf numFmtId="0" fontId="5" fillId="8" borderId="56" xfId="1" applyFont="1" applyFill="1" applyBorder="1" applyAlignment="1">
      <alignment vertical="center"/>
    </xf>
    <xf numFmtId="0" fontId="1" fillId="8" borderId="50" xfId="1" applyFill="1" applyBorder="1" applyAlignment="1">
      <alignment vertical="center"/>
    </xf>
    <xf numFmtId="56" fontId="5" fillId="8" borderId="63" xfId="1" applyNumberFormat="1" applyFont="1" applyFill="1" applyBorder="1" applyAlignment="1">
      <alignment vertical="center"/>
    </xf>
    <xf numFmtId="0" fontId="5" fillId="8" borderId="34" xfId="1" applyFont="1" applyFill="1" applyBorder="1" applyAlignment="1">
      <alignment vertical="center"/>
    </xf>
    <xf numFmtId="0" fontId="5" fillId="8" borderId="54" xfId="1" applyFont="1" applyFill="1" applyBorder="1" applyAlignment="1">
      <alignment vertical="center"/>
    </xf>
    <xf numFmtId="0" fontId="5" fillId="8" borderId="53" xfId="1" applyFont="1" applyFill="1" applyBorder="1" applyAlignment="1">
      <alignment vertical="center"/>
    </xf>
    <xf numFmtId="0" fontId="1" fillId="8" borderId="48" xfId="1" applyFill="1" applyBorder="1" applyAlignment="1">
      <alignment vertical="center"/>
    </xf>
    <xf numFmtId="56" fontId="5" fillId="8" borderId="48" xfId="1" applyNumberFormat="1" applyFont="1" applyFill="1" applyBorder="1" applyAlignment="1">
      <alignment vertical="center"/>
    </xf>
    <xf numFmtId="0" fontId="5" fillId="8" borderId="82" xfId="1" applyFont="1" applyFill="1" applyBorder="1" applyAlignment="1">
      <alignment vertical="center"/>
    </xf>
    <xf numFmtId="56" fontId="5" fillId="8" borderId="30" xfId="1" applyNumberFormat="1" applyFont="1" applyFill="1" applyBorder="1" applyAlignment="1">
      <alignment vertical="center"/>
    </xf>
    <xf numFmtId="0" fontId="5" fillId="8" borderId="59" xfId="1" applyFont="1" applyFill="1" applyBorder="1" applyAlignment="1">
      <alignment vertical="center"/>
    </xf>
    <xf numFmtId="0" fontId="1" fillId="0" borderId="25" xfId="1" applyBorder="1" applyAlignment="1">
      <alignment horizontal="center" vertical="center"/>
    </xf>
    <xf numFmtId="0" fontId="5" fillId="4" borderId="61" xfId="1" applyFont="1" applyFill="1" applyBorder="1" applyAlignment="1">
      <alignment vertical="center"/>
    </xf>
    <xf numFmtId="0" fontId="5" fillId="0" borderId="6" xfId="1" applyFont="1" applyBorder="1"/>
    <xf numFmtId="56" fontId="18" fillId="0" borderId="33" xfId="1" applyNumberFormat="1" applyFont="1" applyBorder="1" applyAlignment="1">
      <alignment vertical="center" wrapText="1"/>
    </xf>
    <xf numFmtId="0" fontId="5" fillId="0" borderId="93" xfId="1" applyFont="1" applyBorder="1"/>
    <xf numFmtId="14" fontId="5" fillId="2" borderId="69" xfId="1" applyNumberFormat="1" applyFont="1" applyFill="1" applyBorder="1" applyAlignment="1">
      <alignment horizontal="center" vertical="center"/>
    </xf>
    <xf numFmtId="56" fontId="5" fillId="0" borderId="58" xfId="1" applyNumberFormat="1" applyFont="1" applyBorder="1" applyAlignment="1">
      <alignment vertical="center"/>
    </xf>
    <xf numFmtId="0" fontId="5" fillId="0" borderId="64" xfId="1" applyFont="1" applyBorder="1" applyAlignment="1">
      <alignment horizontal="center"/>
    </xf>
    <xf numFmtId="0" fontId="5" fillId="0" borderId="66" xfId="1" applyFont="1" applyBorder="1" applyAlignment="1">
      <alignment horizontal="center" vertical="center"/>
    </xf>
    <xf numFmtId="0" fontId="5" fillId="0" borderId="94" xfId="1" applyFont="1" applyBorder="1" applyAlignment="1">
      <alignment horizontal="center" vertical="center"/>
    </xf>
    <xf numFmtId="0" fontId="5" fillId="0" borderId="95" xfId="1" applyFont="1" applyBorder="1" applyAlignment="1">
      <alignment horizontal="center" vertical="center"/>
    </xf>
    <xf numFmtId="0" fontId="1" fillId="0" borderId="69" xfId="1" applyBorder="1" applyAlignment="1">
      <alignment horizontal="center" vertical="center"/>
    </xf>
    <xf numFmtId="0" fontId="5" fillId="0" borderId="67" xfId="1" applyFont="1" applyBorder="1" applyAlignment="1">
      <alignment vertical="center"/>
    </xf>
    <xf numFmtId="0" fontId="5" fillId="0" borderId="71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56" fontId="5" fillId="2" borderId="23" xfId="1" applyNumberFormat="1" applyFont="1" applyFill="1" applyBorder="1" applyAlignment="1">
      <alignment vertical="center"/>
    </xf>
    <xf numFmtId="0" fontId="5" fillId="2" borderId="85" xfId="1" applyFont="1" applyFill="1" applyBorder="1" applyAlignment="1">
      <alignment horizontal="center" vertical="center" shrinkToFit="1"/>
    </xf>
    <xf numFmtId="0" fontId="5" fillId="2" borderId="68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5" fillId="2" borderId="51" xfId="1" applyFont="1" applyFill="1" applyBorder="1" applyAlignment="1">
      <alignment vertical="center" shrinkToFit="1"/>
    </xf>
    <xf numFmtId="20" fontId="5" fillId="0" borderId="8" xfId="1" applyNumberFormat="1" applyFont="1" applyBorder="1"/>
    <xf numFmtId="0" fontId="5" fillId="0" borderId="9" xfId="1" applyFont="1" applyBorder="1"/>
    <xf numFmtId="20" fontId="5" fillId="0" borderId="9" xfId="1" applyNumberFormat="1" applyFont="1" applyBorder="1"/>
    <xf numFmtId="0" fontId="5" fillId="0" borderId="8" xfId="1" applyFont="1" applyBorder="1"/>
    <xf numFmtId="0" fontId="5" fillId="0" borderId="10" xfId="1" applyFont="1" applyBorder="1"/>
    <xf numFmtId="0" fontId="5" fillId="0" borderId="82" xfId="1" applyFont="1" applyBorder="1" applyAlignment="1">
      <alignment horizontal="center" vertical="center"/>
    </xf>
    <xf numFmtId="0" fontId="5" fillId="0" borderId="82" xfId="1" applyFont="1" applyBorder="1"/>
    <xf numFmtId="0" fontId="5" fillId="0" borderId="69" xfId="1" applyFont="1" applyBorder="1"/>
    <xf numFmtId="0" fontId="5" fillId="3" borderId="9" xfId="1" applyFont="1" applyFill="1" applyBorder="1"/>
    <xf numFmtId="0" fontId="5" fillId="3" borderId="10" xfId="1" applyFont="1" applyFill="1" applyBorder="1"/>
    <xf numFmtId="0" fontId="5" fillId="3" borderId="8" xfId="1" applyFont="1" applyFill="1" applyBorder="1"/>
    <xf numFmtId="0" fontId="5" fillId="3" borderId="69" xfId="1" applyFont="1" applyFill="1" applyBorder="1"/>
    <xf numFmtId="0" fontId="1" fillId="0" borderId="21" xfId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14" fontId="5" fillId="0" borderId="69" xfId="1" applyNumberFormat="1" applyFont="1" applyBorder="1"/>
    <xf numFmtId="0" fontId="5" fillId="2" borderId="9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/>
    </xf>
    <xf numFmtId="56" fontId="5" fillId="3" borderId="10" xfId="1" applyNumberFormat="1" applyFont="1" applyFill="1" applyBorder="1" applyAlignment="1">
      <alignment horizontal="center"/>
    </xf>
    <xf numFmtId="0" fontId="5" fillId="0" borderId="7" xfId="1" applyFont="1" applyBorder="1"/>
    <xf numFmtId="0" fontId="5" fillId="0" borderId="76" xfId="1" applyFont="1" applyBorder="1"/>
    <xf numFmtId="0" fontId="5" fillId="0" borderId="35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34" xfId="1" applyFont="1" applyBorder="1" applyAlignment="1">
      <alignment vertical="center"/>
    </xf>
    <xf numFmtId="0" fontId="5" fillId="0" borderId="52" xfId="1" applyFont="1" applyBorder="1" applyAlignment="1">
      <alignment vertical="center"/>
    </xf>
    <xf numFmtId="0" fontId="1" fillId="0" borderId="33" xfId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34" xfId="1" applyBorder="1" applyAlignment="1">
      <alignment vertical="center"/>
    </xf>
    <xf numFmtId="0" fontId="1" fillId="0" borderId="52" xfId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34" xfId="1" applyFont="1" applyBorder="1" applyAlignment="1">
      <alignment horizontal="right" vertical="center"/>
    </xf>
    <xf numFmtId="0" fontId="5" fillId="0" borderId="52" xfId="1" applyFont="1" applyBorder="1" applyAlignment="1">
      <alignment horizontal="right" vertical="center"/>
    </xf>
    <xf numFmtId="0" fontId="5" fillId="0" borderId="33" xfId="1" applyFont="1" applyBorder="1" applyAlignment="1">
      <alignment horizontal="right" vertical="center"/>
    </xf>
    <xf numFmtId="0" fontId="5" fillId="0" borderId="49" xfId="1" applyFont="1" applyBorder="1" applyAlignment="1">
      <alignment vertical="center"/>
    </xf>
    <xf numFmtId="0" fontId="5" fillId="0" borderId="62" xfId="1" applyFont="1" applyBorder="1" applyAlignment="1">
      <alignment vertical="center"/>
    </xf>
    <xf numFmtId="0" fontId="1" fillId="0" borderId="63" xfId="1" applyBorder="1" applyAlignment="1">
      <alignment vertical="center"/>
    </xf>
    <xf numFmtId="0" fontId="5" fillId="0" borderId="80" xfId="1" applyFont="1" applyBorder="1" applyAlignment="1">
      <alignment vertical="center"/>
    </xf>
    <xf numFmtId="0" fontId="5" fillId="0" borderId="81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1" fillId="0" borderId="20" xfId="1" applyBorder="1" applyAlignment="1">
      <alignment vertical="center"/>
    </xf>
    <xf numFmtId="0" fontId="5" fillId="0" borderId="54" xfId="1" applyFont="1" applyBorder="1" applyAlignment="1">
      <alignment vertical="center"/>
    </xf>
    <xf numFmtId="0" fontId="5" fillId="0" borderId="53" xfId="1" applyFont="1" applyBorder="1" applyAlignment="1">
      <alignment vertical="center"/>
    </xf>
    <xf numFmtId="0" fontId="5" fillId="0" borderId="48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5" borderId="24" xfId="1" applyFont="1" applyFill="1" applyBorder="1" applyAlignment="1">
      <alignment vertical="center"/>
    </xf>
    <xf numFmtId="0" fontId="5" fillId="5" borderId="77" xfId="1" applyFont="1" applyFill="1" applyBorder="1" applyAlignment="1">
      <alignment vertical="center"/>
    </xf>
    <xf numFmtId="0" fontId="5" fillId="5" borderId="23" xfId="1" applyFont="1" applyFill="1" applyBorder="1" applyAlignment="1">
      <alignment vertical="center"/>
    </xf>
    <xf numFmtId="0" fontId="1" fillId="5" borderId="23" xfId="1" applyFill="1" applyBorder="1" applyAlignment="1">
      <alignment vertical="center"/>
    </xf>
    <xf numFmtId="0" fontId="1" fillId="0" borderId="48" xfId="1" applyBorder="1" applyAlignment="1">
      <alignment vertical="center"/>
    </xf>
    <xf numFmtId="0" fontId="5" fillId="5" borderId="21" xfId="1" applyFont="1" applyFill="1" applyBorder="1" applyAlignment="1">
      <alignment vertical="center"/>
    </xf>
    <xf numFmtId="0" fontId="1" fillId="5" borderId="21" xfId="1" applyFill="1" applyBorder="1" applyAlignment="1">
      <alignment vertical="center"/>
    </xf>
    <xf numFmtId="0" fontId="5" fillId="5" borderId="30" xfId="1" applyFont="1" applyFill="1" applyBorder="1" applyAlignment="1">
      <alignment vertical="center"/>
    </xf>
    <xf numFmtId="0" fontId="1" fillId="5" borderId="30" xfId="1" applyFill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1" fillId="0" borderId="30" xfId="1" applyBorder="1" applyAlignment="1">
      <alignment vertical="center"/>
    </xf>
    <xf numFmtId="0" fontId="5" fillId="0" borderId="63" xfId="1" applyFont="1" applyBorder="1" applyAlignment="1">
      <alignment vertical="center"/>
    </xf>
    <xf numFmtId="0" fontId="5" fillId="0" borderId="59" xfId="1" applyFont="1" applyBorder="1" applyAlignment="1">
      <alignment vertical="center"/>
    </xf>
    <xf numFmtId="0" fontId="1" fillId="0" borderId="59" xfId="1" applyBorder="1" applyAlignment="1">
      <alignment vertical="center"/>
    </xf>
    <xf numFmtId="0" fontId="5" fillId="0" borderId="35" xfId="1" applyFont="1" applyBorder="1" applyAlignment="1">
      <alignment horizontal="center" vertical="center" wrapText="1"/>
    </xf>
    <xf numFmtId="0" fontId="5" fillId="5" borderId="80" xfId="1" applyFont="1" applyFill="1" applyBorder="1" applyAlignment="1">
      <alignment vertical="center"/>
    </xf>
    <xf numFmtId="0" fontId="5" fillId="5" borderId="81" xfId="1" applyFont="1" applyFill="1" applyBorder="1" applyAlignment="1">
      <alignment vertical="center"/>
    </xf>
    <xf numFmtId="0" fontId="5" fillId="5" borderId="20" xfId="1" applyFont="1" applyFill="1" applyBorder="1" applyAlignment="1">
      <alignment vertical="center"/>
    </xf>
    <xf numFmtId="0" fontId="1" fillId="5" borderId="20" xfId="1" applyFill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77" xfId="1" applyFont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1" fillId="0" borderId="23" xfId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1" fillId="0" borderId="39" xfId="1" applyBorder="1" applyAlignment="1">
      <alignment vertical="center"/>
    </xf>
    <xf numFmtId="0" fontId="5" fillId="8" borderId="34" xfId="1" applyFont="1" applyFill="1" applyBorder="1" applyAlignment="1">
      <alignment vertical="center"/>
    </xf>
    <xf numFmtId="0" fontId="5" fillId="8" borderId="52" xfId="1" applyFont="1" applyFill="1" applyBorder="1" applyAlignment="1">
      <alignment vertical="center"/>
    </xf>
    <xf numFmtId="0" fontId="1" fillId="8" borderId="33" xfId="1" applyFill="1" applyBorder="1" applyAlignment="1">
      <alignment vertical="center"/>
    </xf>
    <xf numFmtId="0" fontId="5" fillId="8" borderId="49" xfId="1" applyFont="1" applyFill="1" applyBorder="1" applyAlignment="1">
      <alignment vertical="center"/>
    </xf>
    <xf numFmtId="0" fontId="5" fillId="8" borderId="62" xfId="1" applyFont="1" applyFill="1" applyBorder="1" applyAlignment="1">
      <alignment vertical="center"/>
    </xf>
    <xf numFmtId="0" fontId="1" fillId="8" borderId="63" xfId="1" applyFill="1" applyBorder="1" applyAlignment="1">
      <alignment vertical="center"/>
    </xf>
    <xf numFmtId="0" fontId="5" fillId="8" borderId="80" xfId="1" applyFont="1" applyFill="1" applyBorder="1" applyAlignment="1">
      <alignment vertical="center"/>
    </xf>
    <xf numFmtId="0" fontId="5" fillId="8" borderId="81" xfId="1" applyFont="1" applyFill="1" applyBorder="1" applyAlignment="1">
      <alignment vertical="center"/>
    </xf>
    <xf numFmtId="0" fontId="5" fillId="8" borderId="20" xfId="1" applyFont="1" applyFill="1" applyBorder="1" applyAlignment="1">
      <alignment vertical="center"/>
    </xf>
    <xf numFmtId="0" fontId="1" fillId="8" borderId="20" xfId="1" applyFill="1" applyBorder="1" applyAlignment="1">
      <alignment vertical="center"/>
    </xf>
    <xf numFmtId="0" fontId="5" fillId="8" borderId="54" xfId="1" applyFont="1" applyFill="1" applyBorder="1" applyAlignment="1">
      <alignment vertical="center"/>
    </xf>
    <xf numFmtId="0" fontId="5" fillId="8" borderId="53" xfId="1" applyFont="1" applyFill="1" applyBorder="1" applyAlignment="1">
      <alignment vertical="center"/>
    </xf>
    <xf numFmtId="0" fontId="5" fillId="8" borderId="48" xfId="1" applyFont="1" applyFill="1" applyBorder="1" applyAlignment="1">
      <alignment vertical="center"/>
    </xf>
    <xf numFmtId="0" fontId="5" fillId="8" borderId="24" xfId="1" applyFont="1" applyFill="1" applyBorder="1" applyAlignment="1">
      <alignment vertical="center"/>
    </xf>
    <xf numFmtId="0" fontId="5" fillId="8" borderId="77" xfId="1" applyFont="1" applyFill="1" applyBorder="1" applyAlignment="1">
      <alignment vertical="center"/>
    </xf>
    <xf numFmtId="0" fontId="5" fillId="8" borderId="23" xfId="1" applyFont="1" applyFill="1" applyBorder="1" applyAlignment="1">
      <alignment vertical="center"/>
    </xf>
    <xf numFmtId="0" fontId="1" fillId="8" borderId="23" xfId="1" applyFill="1" applyBorder="1" applyAlignment="1">
      <alignment vertical="center"/>
    </xf>
    <xf numFmtId="0" fontId="1" fillId="8" borderId="34" xfId="1" applyFill="1" applyBorder="1" applyAlignment="1">
      <alignment vertical="center"/>
    </xf>
    <xf numFmtId="0" fontId="1" fillId="8" borderId="52" xfId="1" applyFill="1" applyBorder="1" applyAlignment="1">
      <alignment vertical="center"/>
    </xf>
    <xf numFmtId="0" fontId="5" fillId="8" borderId="33" xfId="1" applyFont="1" applyFill="1" applyBorder="1" applyAlignment="1">
      <alignment vertical="center"/>
    </xf>
    <xf numFmtId="0" fontId="5" fillId="8" borderId="34" xfId="1" applyFont="1" applyFill="1" applyBorder="1" applyAlignment="1">
      <alignment horizontal="right" vertical="center"/>
    </xf>
    <xf numFmtId="0" fontId="5" fillId="8" borderId="52" xfId="1" applyFont="1" applyFill="1" applyBorder="1" applyAlignment="1">
      <alignment horizontal="right" vertical="center"/>
    </xf>
    <xf numFmtId="0" fontId="5" fillId="8" borderId="33" xfId="1" applyFont="1" applyFill="1" applyBorder="1" applyAlignment="1">
      <alignment horizontal="right" vertical="center"/>
    </xf>
    <xf numFmtId="0" fontId="5" fillId="8" borderId="30" xfId="1" applyFont="1" applyFill="1" applyBorder="1" applyAlignment="1">
      <alignment vertical="center"/>
    </xf>
    <xf numFmtId="0" fontId="1" fillId="8" borderId="48" xfId="1" applyFill="1" applyBorder="1" applyAlignment="1">
      <alignment vertical="center"/>
    </xf>
    <xf numFmtId="0" fontId="1" fillId="8" borderId="30" xfId="1" applyFill="1" applyBorder="1" applyAlignment="1">
      <alignment vertical="center"/>
    </xf>
    <xf numFmtId="0" fontId="5" fillId="8" borderId="63" xfId="1" applyFont="1" applyFill="1" applyBorder="1" applyAlignment="1">
      <alignment vertical="center"/>
    </xf>
    <xf numFmtId="0" fontId="5" fillId="8" borderId="39" xfId="1" applyFont="1" applyFill="1" applyBorder="1" applyAlignment="1">
      <alignment vertical="center"/>
    </xf>
    <xf numFmtId="0" fontId="1" fillId="8" borderId="39" xfId="1" applyFill="1" applyBorder="1" applyAlignment="1">
      <alignment vertical="center"/>
    </xf>
    <xf numFmtId="0" fontId="5" fillId="0" borderId="8" xfId="1" applyFont="1" applyBorder="1"/>
    <xf numFmtId="0" fontId="5" fillId="0" borderId="9" xfId="1" applyFont="1" applyBorder="1"/>
    <xf numFmtId="0" fontId="5" fillId="0" borderId="10" xfId="1" applyFont="1" applyBorder="1"/>
    <xf numFmtId="0" fontId="5" fillId="3" borderId="8" xfId="1" applyFont="1" applyFill="1" applyBorder="1"/>
    <xf numFmtId="0" fontId="5" fillId="3" borderId="9" xfId="1" applyFont="1" applyFill="1" applyBorder="1"/>
    <xf numFmtId="0" fontId="5" fillId="3" borderId="10" xfId="1" applyFont="1" applyFill="1" applyBorder="1"/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3" borderId="8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0" borderId="69" xfId="1" applyFont="1" applyBorder="1"/>
    <xf numFmtId="0" fontId="8" fillId="0" borderId="54" xfId="1" applyFont="1" applyBorder="1" applyAlignment="1">
      <alignment vertical="center"/>
    </xf>
    <xf numFmtId="0" fontId="8" fillId="0" borderId="53" xfId="1" applyFont="1" applyBorder="1" applyAlignment="1">
      <alignment vertical="center"/>
    </xf>
    <xf numFmtId="0" fontId="8" fillId="0" borderId="48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2" xfId="1" applyFont="1" applyBorder="1" applyAlignment="1">
      <alignment vertical="center"/>
    </xf>
    <xf numFmtId="0" fontId="5" fillId="0" borderId="76" xfId="1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14" fontId="5" fillId="0" borderId="80" xfId="1" applyNumberFormat="1" applyFont="1" applyBorder="1" applyAlignment="1">
      <alignment vertical="center"/>
    </xf>
  </cellXfs>
  <cellStyles count="2">
    <cellStyle name="標準" xfId="0" builtinId="0"/>
    <cellStyle name="標準 2" xfId="1" xr:uid="{DEC99CC3-462F-463D-9ECE-9E4D46BD7F9F}"/>
  </cellStyles>
  <dxfs count="57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CCFFCC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481853</xdr:colOff>
      <xdr:row>1</xdr:row>
      <xdr:rowOff>56029</xdr:rowOff>
    </xdr:from>
    <xdr:to>
      <xdr:col>5</xdr:col>
      <xdr:colOff>358587</xdr:colOff>
      <xdr:row>2</xdr:row>
      <xdr:rowOff>112059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70EC25D-F7F0-485B-AA6D-66E63FF198A1}"/>
            </a:ext>
          </a:extLst>
        </xdr:cNvPr>
        <xdr:cNvSpPr/>
      </xdr:nvSpPr>
      <xdr:spPr bwMode="auto">
        <a:xfrm>
          <a:off x="742203" y="297329"/>
          <a:ext cx="1915084" cy="310030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100" b="1"/>
            <a:t>3/13:</a:t>
          </a:r>
          <a:r>
            <a:rPr kumimoji="1" lang="ja-JP" altLang="en-US" sz="1100" b="1"/>
            <a:t>金井部長の連絡定員に変更</a:t>
          </a:r>
        </a:p>
      </xdr:txBody>
    </xdr:sp>
    <xdr:clientData/>
  </xdr:twoCellAnchor>
  <xdr:twoCellAnchor>
    <xdr:from>
      <xdr:col>3</xdr:col>
      <xdr:colOff>156883</xdr:colOff>
      <xdr:row>6</xdr:row>
      <xdr:rowOff>1</xdr:rowOff>
    </xdr:from>
    <xdr:to>
      <xdr:col>3</xdr:col>
      <xdr:colOff>728383</xdr:colOff>
      <xdr:row>6</xdr:row>
      <xdr:rowOff>235325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DAF601E-725C-4910-8549-7E9F5FB9634F}"/>
            </a:ext>
          </a:extLst>
        </xdr:cNvPr>
        <xdr:cNvSpPr/>
      </xdr:nvSpPr>
      <xdr:spPr bwMode="auto">
        <a:xfrm>
          <a:off x="1287183" y="1238251"/>
          <a:ext cx="546100" cy="23532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100"/>
            <a:t> 6</a:t>
          </a:r>
          <a:r>
            <a:rPr kumimoji="1" lang="ja-JP" altLang="en-US" sz="1100"/>
            <a:t>月</a:t>
          </a:r>
          <a:r>
            <a:rPr kumimoji="1" lang="en-US" altLang="ja-JP" sz="1100"/>
            <a:t>4</a:t>
          </a:r>
          <a:r>
            <a:rPr kumimoji="1" lang="ja-JP" altLang="en-US" sz="1100"/>
            <a:t>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chikawa\Desktop\&#36942;&#21435;&#12398;jukousuu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予約まとめ"/>
      <sheetName val="記入履歴"/>
      <sheetName val="H30予約"/>
      <sheetName val="H30記入履歴"/>
      <sheetName val="H31予約"/>
      <sheetName val="H31記入履歴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266F5-65B7-4260-A6AE-F8C7CA25DC94}">
  <sheetPr codeName="Sheet7">
    <pageSetUpPr fitToPage="1"/>
  </sheetPr>
  <dimension ref="A1:BP55"/>
  <sheetViews>
    <sheetView showGridLines="0" topLeftCell="A2" zoomScale="70" zoomScaleNormal="70" workbookViewId="0">
      <pane xSplit="8" ySplit="2" topLeftCell="I10" activePane="bottomRight" state="frozen"/>
      <selection activeCell="J37" sqref="J37:L37"/>
      <selection pane="topRight" activeCell="J37" sqref="J37:L37"/>
      <selection pane="bottomLeft" activeCell="J37" sqref="J37:L37"/>
      <selection pane="bottomRight" activeCell="J37" sqref="J37:L37"/>
    </sheetView>
  </sheetViews>
  <sheetFormatPr defaultColWidth="8.25" defaultRowHeight="14"/>
  <cols>
    <col min="1" max="1" width="3.33203125" style="2" customWidth="1"/>
    <col min="2" max="2" width="11.33203125" style="2" customWidth="1"/>
    <col min="3" max="3" width="9.75" style="2" hidden="1" customWidth="1"/>
    <col min="4" max="4" width="9.25" style="2" bestFit="1" customWidth="1"/>
    <col min="5" max="5" width="6.08203125" style="2" bestFit="1" customWidth="1"/>
    <col min="6" max="6" width="5" style="2" bestFit="1" customWidth="1"/>
    <col min="7" max="7" width="8.25" style="2"/>
    <col min="8" max="8" width="1.5" style="2" customWidth="1"/>
    <col min="9" max="9" width="8.25" style="2"/>
    <col min="10" max="21" width="4.08203125" style="2" customWidth="1"/>
    <col min="22" max="22" width="10" style="2" bestFit="1" customWidth="1"/>
    <col min="23" max="23" width="16.58203125" style="2" customWidth="1"/>
    <col min="24" max="24" width="1" style="2" customWidth="1"/>
    <col min="25" max="25" width="14.83203125" style="2" customWidth="1"/>
    <col min="26" max="26" width="22.33203125" style="3" customWidth="1"/>
    <col min="27" max="27" width="14.33203125" style="3" bestFit="1" customWidth="1"/>
    <col min="28" max="16384" width="8.25" style="2"/>
  </cols>
  <sheetData>
    <row r="1" spans="2:27" ht="19">
      <c r="B1" s="1" t="s">
        <v>0</v>
      </c>
      <c r="C1" s="1"/>
    </row>
    <row r="2" spans="2:27" ht="20.25" customHeight="1" thickBot="1">
      <c r="B2" s="4" t="s">
        <v>128</v>
      </c>
      <c r="C2" s="4"/>
      <c r="F2" s="5" t="s">
        <v>2</v>
      </c>
    </row>
    <row r="3" spans="2:27" ht="19.5" customHeight="1">
      <c r="B3" s="6"/>
      <c r="C3" s="7"/>
      <c r="D3" s="8"/>
      <c r="E3" s="9" t="s">
        <v>3</v>
      </c>
      <c r="F3" s="10" t="s">
        <v>4</v>
      </c>
      <c r="G3" s="11" t="s">
        <v>5</v>
      </c>
      <c r="H3" s="12"/>
      <c r="I3" s="13" t="s">
        <v>6</v>
      </c>
      <c r="J3" s="341" t="s">
        <v>7</v>
      </c>
      <c r="K3" s="342"/>
      <c r="L3" s="343"/>
      <c r="M3" s="341" t="s">
        <v>8</v>
      </c>
      <c r="N3" s="342"/>
      <c r="O3" s="344"/>
      <c r="P3" s="341" t="s">
        <v>9</v>
      </c>
      <c r="Q3" s="342"/>
      <c r="R3" s="343"/>
      <c r="S3" s="341" t="s">
        <v>10</v>
      </c>
      <c r="T3" s="342"/>
      <c r="U3" s="343"/>
      <c r="V3" s="14" t="s">
        <v>11</v>
      </c>
      <c r="W3" s="14" t="s">
        <v>12</v>
      </c>
      <c r="Y3" s="15" t="s">
        <v>13</v>
      </c>
      <c r="Z3" s="16"/>
      <c r="AA3" s="16"/>
    </row>
    <row r="4" spans="2:27" ht="19.5" hidden="1" customHeight="1">
      <c r="B4" s="6"/>
      <c r="C4" s="7"/>
      <c r="D4" s="8"/>
      <c r="E4" s="17"/>
      <c r="F4" s="18"/>
      <c r="G4" s="19"/>
      <c r="H4" s="12"/>
      <c r="I4" s="20"/>
      <c r="J4" s="21" t="str">
        <f>J3</f>
        <v>飯塚</v>
      </c>
      <c r="K4" s="22" t="str">
        <f>J3</f>
        <v>飯塚</v>
      </c>
      <c r="L4" s="23" t="str">
        <f>J3</f>
        <v>飯塚</v>
      </c>
      <c r="M4" s="21" t="str">
        <f>M3</f>
        <v>田川</v>
      </c>
      <c r="N4" s="22" t="str">
        <f>M3</f>
        <v>田川</v>
      </c>
      <c r="O4" s="24" t="str">
        <f>M3</f>
        <v>田川</v>
      </c>
      <c r="P4" s="21" t="str">
        <f>P3</f>
        <v>直鞍</v>
      </c>
      <c r="Q4" s="22" t="str">
        <f>P3</f>
        <v>直鞍</v>
      </c>
      <c r="R4" s="23" t="str">
        <f>P3</f>
        <v>直鞍</v>
      </c>
      <c r="S4" s="21" t="str">
        <f>S3</f>
        <v>連合会</v>
      </c>
      <c r="T4" s="22" t="str">
        <f>S3</f>
        <v>連合会</v>
      </c>
      <c r="U4" s="23" t="str">
        <f>S3</f>
        <v>連合会</v>
      </c>
      <c r="V4" s="23"/>
      <c r="W4" s="23"/>
      <c r="Y4" s="25"/>
      <c r="Z4" s="26"/>
      <c r="AA4" s="27"/>
    </row>
    <row r="5" spans="2:27" ht="19.5" customHeight="1">
      <c r="B5" s="28"/>
      <c r="C5" s="29"/>
      <c r="D5" s="30"/>
      <c r="E5" s="31"/>
      <c r="F5" s="32"/>
      <c r="G5" s="33"/>
      <c r="H5" s="34"/>
      <c r="I5" s="35"/>
      <c r="J5" s="36" t="s">
        <v>14</v>
      </c>
      <c r="K5" s="31" t="s">
        <v>15</v>
      </c>
      <c r="L5" s="37" t="s">
        <v>16</v>
      </c>
      <c r="M5" s="36" t="s">
        <v>14</v>
      </c>
      <c r="N5" s="31" t="s">
        <v>15</v>
      </c>
      <c r="O5" s="37" t="s">
        <v>16</v>
      </c>
      <c r="P5" s="36" t="s">
        <v>14</v>
      </c>
      <c r="Q5" s="31" t="s">
        <v>15</v>
      </c>
      <c r="R5" s="37" t="s">
        <v>16</v>
      </c>
      <c r="S5" s="36" t="s">
        <v>14</v>
      </c>
      <c r="T5" s="31" t="s">
        <v>15</v>
      </c>
      <c r="U5" s="37" t="s">
        <v>16</v>
      </c>
      <c r="V5" s="38"/>
      <c r="W5" s="38"/>
      <c r="Y5" s="194"/>
      <c r="Z5" s="36" t="s">
        <v>17</v>
      </c>
      <c r="AA5" s="37" t="s">
        <v>18</v>
      </c>
    </row>
    <row r="6" spans="2:27" ht="19.5" customHeight="1">
      <c r="B6" s="345" t="s">
        <v>19</v>
      </c>
      <c r="C6" s="40" t="str">
        <f>B6</f>
        <v>玉掛</v>
      </c>
      <c r="D6" s="41">
        <v>43945</v>
      </c>
      <c r="E6" s="42" t="s">
        <v>7</v>
      </c>
      <c r="F6" s="43">
        <v>50</v>
      </c>
      <c r="G6" s="44">
        <f t="shared" ref="G6:G12" si="0">F6-I6</f>
        <v>43</v>
      </c>
      <c r="H6" s="45"/>
      <c r="I6" s="195">
        <f t="shared" ref="I6:I11" si="1">SUM(J6:U6)</f>
        <v>7</v>
      </c>
      <c r="J6" s="196">
        <f>1-1</f>
        <v>0</v>
      </c>
      <c r="K6" s="197">
        <f>1+1+2+1-5</f>
        <v>0</v>
      </c>
      <c r="L6" s="198">
        <f>3+1+1-1+3+1+1+2+1+1+2+1+1-2+3+1+1-1-3-5-1-1-1-1-2-1-1</f>
        <v>3</v>
      </c>
      <c r="M6" s="196"/>
      <c r="N6" s="197"/>
      <c r="O6" s="198">
        <f>1+1-2</f>
        <v>0</v>
      </c>
      <c r="P6" s="196"/>
      <c r="Q6" s="197"/>
      <c r="R6" s="198">
        <f>2+2+1+3+1+5+2+1+2-3+1-8-6-2-1</f>
        <v>0</v>
      </c>
      <c r="S6" s="196">
        <v>1</v>
      </c>
      <c r="T6" s="197"/>
      <c r="U6" s="198">
        <f>1+1+1</f>
        <v>3</v>
      </c>
      <c r="V6" s="50">
        <v>43934</v>
      </c>
      <c r="W6" s="50"/>
      <c r="Y6" s="51"/>
      <c r="Z6" s="62" t="s">
        <v>25</v>
      </c>
      <c r="AA6" s="53" t="s">
        <v>26</v>
      </c>
    </row>
    <row r="7" spans="2:27" ht="19.5" customHeight="1">
      <c r="B7" s="339"/>
      <c r="C7" s="54" t="str">
        <f>B6</f>
        <v>玉掛</v>
      </c>
      <c r="D7" s="55">
        <v>44000</v>
      </c>
      <c r="E7" s="199" t="s">
        <v>129</v>
      </c>
      <c r="F7" s="200">
        <v>30</v>
      </c>
      <c r="G7" s="44">
        <f t="shared" si="0"/>
        <v>7</v>
      </c>
      <c r="H7" s="45"/>
      <c r="I7" s="57">
        <f t="shared" si="1"/>
        <v>23</v>
      </c>
      <c r="J7" s="58">
        <v>1</v>
      </c>
      <c r="K7" s="59">
        <f>5-2</f>
        <v>3</v>
      </c>
      <c r="L7" s="60">
        <f>1+1+2+1+3+5+1+1-1+1+2-1+1-2-2+1+1-2+1</f>
        <v>14</v>
      </c>
      <c r="M7" s="58"/>
      <c r="N7" s="59"/>
      <c r="O7" s="201">
        <v>2</v>
      </c>
      <c r="P7" s="58"/>
      <c r="Q7" s="59"/>
      <c r="R7" s="60">
        <f>2+1-1+1+1+6+6+2+2+2+1+2-19-3</f>
        <v>3</v>
      </c>
      <c r="S7" s="58"/>
      <c r="T7" s="59"/>
      <c r="U7" s="60"/>
      <c r="V7" s="61">
        <v>43973</v>
      </c>
      <c r="W7" s="61"/>
      <c r="Y7" s="51"/>
      <c r="Z7" s="52" t="s">
        <v>130</v>
      </c>
      <c r="AA7" s="53" t="s">
        <v>26</v>
      </c>
    </row>
    <row r="8" spans="2:27" ht="19.5" customHeight="1">
      <c r="B8" s="339"/>
      <c r="C8" s="54" t="str">
        <f>B6</f>
        <v>玉掛</v>
      </c>
      <c r="D8" s="41">
        <v>44070</v>
      </c>
      <c r="E8" s="202" t="s">
        <v>9</v>
      </c>
      <c r="F8" s="56">
        <v>40</v>
      </c>
      <c r="G8" s="44">
        <f t="shared" si="0"/>
        <v>0</v>
      </c>
      <c r="H8" s="45"/>
      <c r="I8" s="46">
        <f t="shared" si="1"/>
        <v>40</v>
      </c>
      <c r="J8" s="47"/>
      <c r="K8" s="48">
        <v>2</v>
      </c>
      <c r="L8" s="49">
        <f>1-1+2-1+1+1-1</f>
        <v>2</v>
      </c>
      <c r="M8" s="47">
        <f>1+1+2-1</f>
        <v>3</v>
      </c>
      <c r="N8" s="48">
        <v>2</v>
      </c>
      <c r="O8" s="49">
        <f>1+1+1+1+1</f>
        <v>5</v>
      </c>
      <c r="P8" s="47"/>
      <c r="Q8" s="48"/>
      <c r="R8" s="49">
        <f>2+1+2+2+6+2+1+2+1+1+1+1+3+2-1</f>
        <v>26</v>
      </c>
      <c r="S8" s="47"/>
      <c r="T8" s="48"/>
      <c r="U8" s="49"/>
      <c r="V8" s="50">
        <v>44050</v>
      </c>
      <c r="W8" s="50"/>
      <c r="Y8" s="51"/>
      <c r="Z8" s="52" t="s">
        <v>24</v>
      </c>
      <c r="AA8" s="53" t="s">
        <v>131</v>
      </c>
    </row>
    <row r="9" spans="2:27" ht="19.5" customHeight="1">
      <c r="B9" s="339"/>
      <c r="C9" s="54" t="str">
        <f>B6</f>
        <v>玉掛</v>
      </c>
      <c r="D9" s="41">
        <v>44105</v>
      </c>
      <c r="E9" s="42" t="s">
        <v>7</v>
      </c>
      <c r="F9" s="200">
        <v>40</v>
      </c>
      <c r="G9" s="44">
        <f t="shared" si="0"/>
        <v>0</v>
      </c>
      <c r="H9" s="45"/>
      <c r="I9" s="46">
        <f t="shared" si="1"/>
        <v>40</v>
      </c>
      <c r="J9" s="47"/>
      <c r="K9" s="48">
        <v>1</v>
      </c>
      <c r="L9" s="49">
        <f>1+1-1+1+2+2+3+2+1+2+2+1+1+1+1+1-1+1-1+1</f>
        <v>21</v>
      </c>
      <c r="M9" s="47"/>
      <c r="N9" s="48">
        <f>2+1</f>
        <v>3</v>
      </c>
      <c r="O9" s="49">
        <f>2-2+1+1-1+1+1-1</f>
        <v>2</v>
      </c>
      <c r="P9" s="47"/>
      <c r="Q9" s="48"/>
      <c r="R9" s="49">
        <f>1+1+1+1+1+1+1+1+2+1+1</f>
        <v>12</v>
      </c>
      <c r="S9" s="47"/>
      <c r="T9" s="48"/>
      <c r="U9" s="49">
        <f>1+1-1</f>
        <v>1</v>
      </c>
      <c r="V9" s="50">
        <v>44091</v>
      </c>
      <c r="W9" s="50" t="s">
        <v>132</v>
      </c>
      <c r="Y9" s="51"/>
      <c r="Z9" s="52" t="s">
        <v>130</v>
      </c>
      <c r="AA9" s="53" t="s">
        <v>26</v>
      </c>
    </row>
    <row r="10" spans="2:27" ht="20.25" customHeight="1">
      <c r="B10" s="339"/>
      <c r="C10" s="54" t="str">
        <f>B6</f>
        <v>玉掛</v>
      </c>
      <c r="D10" s="41">
        <v>44168</v>
      </c>
      <c r="E10" s="112" t="s">
        <v>7</v>
      </c>
      <c r="F10" s="200">
        <v>40</v>
      </c>
      <c r="G10" s="44">
        <f t="shared" si="0"/>
        <v>11</v>
      </c>
      <c r="H10" s="45"/>
      <c r="I10" s="46">
        <f t="shared" si="1"/>
        <v>29</v>
      </c>
      <c r="J10" s="47"/>
      <c r="K10" s="48">
        <f>2+1+1-1-1</f>
        <v>2</v>
      </c>
      <c r="L10" s="49">
        <f>3+1+1+1+1-1+1+2-2+1+1+3+1+1+1+1-1+1+2-3</f>
        <v>15</v>
      </c>
      <c r="M10" s="47">
        <v>1</v>
      </c>
      <c r="N10" s="48">
        <f>1-1</f>
        <v>0</v>
      </c>
      <c r="O10" s="49">
        <f>1+2+3-1</f>
        <v>5</v>
      </c>
      <c r="P10" s="47"/>
      <c r="Q10" s="48"/>
      <c r="R10" s="49">
        <f>2+1+1+1+1+1-1</f>
        <v>6</v>
      </c>
      <c r="S10" s="47"/>
      <c r="T10" s="48"/>
      <c r="U10" s="49"/>
      <c r="V10" s="50">
        <v>44180</v>
      </c>
      <c r="W10" s="50"/>
      <c r="Y10" s="51"/>
      <c r="Z10" s="62" t="s">
        <v>25</v>
      </c>
      <c r="AA10" s="53" t="s">
        <v>26</v>
      </c>
    </row>
    <row r="11" spans="2:27" ht="19.5" customHeight="1">
      <c r="B11" s="339"/>
      <c r="C11" s="54" t="str">
        <f>B6</f>
        <v>玉掛</v>
      </c>
      <c r="D11" s="41">
        <v>44236</v>
      </c>
      <c r="E11" s="202" t="s">
        <v>9</v>
      </c>
      <c r="F11" s="56">
        <v>20</v>
      </c>
      <c r="G11" s="44">
        <f t="shared" si="0"/>
        <v>20</v>
      </c>
      <c r="H11" s="45"/>
      <c r="I11" s="46">
        <f t="shared" si="1"/>
        <v>0</v>
      </c>
      <c r="J11" s="47"/>
      <c r="K11" s="48"/>
      <c r="L11" s="49">
        <f>1+2-2-1</f>
        <v>0</v>
      </c>
      <c r="M11" s="47"/>
      <c r="N11" s="48"/>
      <c r="O11" s="49"/>
      <c r="P11" s="47"/>
      <c r="Q11" s="48"/>
      <c r="R11" s="49"/>
      <c r="S11" s="47"/>
      <c r="T11" s="48"/>
      <c r="U11" s="49"/>
      <c r="V11" s="50">
        <v>44201</v>
      </c>
      <c r="W11" s="50"/>
      <c r="Y11" s="51"/>
      <c r="Z11" s="52" t="s">
        <v>24</v>
      </c>
      <c r="AA11" s="53" t="s">
        <v>133</v>
      </c>
    </row>
    <row r="12" spans="2:27" ht="19.5" hidden="1" customHeight="1">
      <c r="B12" s="340"/>
      <c r="C12" s="54" t="str">
        <f>B6</f>
        <v>玉掛</v>
      </c>
      <c r="D12" s="63"/>
      <c r="E12" s="64"/>
      <c r="F12" s="65"/>
      <c r="G12" s="66">
        <f t="shared" si="0"/>
        <v>0</v>
      </c>
      <c r="H12" s="45"/>
      <c r="I12" s="67"/>
      <c r="J12" s="68"/>
      <c r="K12" s="69"/>
      <c r="L12" s="70"/>
      <c r="M12" s="68"/>
      <c r="N12" s="69"/>
      <c r="O12" s="70"/>
      <c r="P12" s="68"/>
      <c r="Q12" s="69"/>
      <c r="R12" s="70"/>
      <c r="S12" s="68"/>
      <c r="T12" s="69"/>
      <c r="U12" s="70"/>
      <c r="V12" s="71"/>
      <c r="W12" s="71"/>
      <c r="Y12" s="72"/>
      <c r="Z12" s="62"/>
      <c r="AA12" s="73"/>
    </row>
    <row r="13" spans="2:27" ht="19.5" customHeight="1">
      <c r="B13" s="36"/>
      <c r="C13" s="74"/>
      <c r="D13" s="75"/>
      <c r="E13" s="31"/>
      <c r="F13" s="76"/>
      <c r="G13" s="77"/>
      <c r="H13" s="78"/>
      <c r="I13" s="79"/>
      <c r="J13" s="28" t="s">
        <v>27</v>
      </c>
      <c r="K13" s="76" t="s">
        <v>28</v>
      </c>
      <c r="L13" s="80" t="s">
        <v>29</v>
      </c>
      <c r="M13" s="28" t="s">
        <v>27</v>
      </c>
      <c r="N13" s="76" t="s">
        <v>28</v>
      </c>
      <c r="O13" s="80" t="s">
        <v>29</v>
      </c>
      <c r="P13" s="28" t="s">
        <v>27</v>
      </c>
      <c r="Q13" s="76" t="s">
        <v>28</v>
      </c>
      <c r="R13" s="80" t="s">
        <v>29</v>
      </c>
      <c r="S13" s="28" t="s">
        <v>27</v>
      </c>
      <c r="T13" s="76" t="s">
        <v>28</v>
      </c>
      <c r="U13" s="80" t="s">
        <v>29</v>
      </c>
      <c r="V13" s="81"/>
      <c r="W13" s="81"/>
      <c r="Y13" s="82" t="s">
        <v>30</v>
      </c>
      <c r="Z13" s="36" t="s">
        <v>31</v>
      </c>
      <c r="AA13" s="37" t="s">
        <v>18</v>
      </c>
    </row>
    <row r="14" spans="2:27" ht="19.5" customHeight="1">
      <c r="B14" s="339" t="s">
        <v>32</v>
      </c>
      <c r="C14" s="54" t="str">
        <f>B14</f>
        <v>フォーク</v>
      </c>
      <c r="D14" s="55">
        <v>43932</v>
      </c>
      <c r="E14" s="199" t="s">
        <v>129</v>
      </c>
      <c r="F14" s="203">
        <v>40</v>
      </c>
      <c r="G14" s="83">
        <f t="shared" ref="G14:G20" si="2">F14-I14</f>
        <v>24</v>
      </c>
      <c r="H14" s="45"/>
      <c r="I14" s="57">
        <f t="shared" ref="I14:I20" si="3">SUM(J14:U14)</f>
        <v>16</v>
      </c>
      <c r="J14" s="58"/>
      <c r="K14" s="204">
        <f>2+1+2+1+1+1+3+1-1-1+1+1+1+1-3+3+1+1-1+1+1+1-1+1+1-1-1-5+1-1-1+1-1-1-1-1</f>
        <v>8</v>
      </c>
      <c r="L14" s="60">
        <f>30-12+1-1-18</f>
        <v>0</v>
      </c>
      <c r="M14" s="58"/>
      <c r="N14" s="204">
        <f>1+2+2+1+1+2-1-1-1</f>
        <v>6</v>
      </c>
      <c r="O14" s="60"/>
      <c r="P14" s="58"/>
      <c r="Q14" s="56">
        <f>1+1-1+1+1+1-1-1+1-1-1</f>
        <v>1</v>
      </c>
      <c r="R14" s="60"/>
      <c r="S14" s="58"/>
      <c r="T14" s="56">
        <v>1</v>
      </c>
      <c r="U14" s="49"/>
      <c r="V14" s="61">
        <v>43930</v>
      </c>
      <c r="W14" s="61"/>
      <c r="Y14" s="205" t="s">
        <v>134</v>
      </c>
      <c r="Z14" s="62" t="s">
        <v>25</v>
      </c>
      <c r="AA14" s="53" t="s">
        <v>26</v>
      </c>
    </row>
    <row r="15" spans="2:27" ht="19.5" customHeight="1">
      <c r="B15" s="339"/>
      <c r="C15" s="54" t="str">
        <f>B14</f>
        <v>フォーク</v>
      </c>
      <c r="D15" s="41">
        <v>43981</v>
      </c>
      <c r="E15" s="202" t="s">
        <v>9</v>
      </c>
      <c r="F15" s="43">
        <v>30</v>
      </c>
      <c r="G15" s="44">
        <f t="shared" si="2"/>
        <v>29</v>
      </c>
      <c r="H15" s="45"/>
      <c r="I15" s="195">
        <f t="shared" si="3"/>
        <v>1</v>
      </c>
      <c r="J15" s="196"/>
      <c r="K15" s="206">
        <f>1+1-1-1</f>
        <v>0</v>
      </c>
      <c r="L15" s="198"/>
      <c r="M15" s="196"/>
      <c r="N15" s="206">
        <f>1+1+1-2</f>
        <v>1</v>
      </c>
      <c r="O15" s="198"/>
      <c r="P15" s="196"/>
      <c r="Q15" s="206">
        <f>3+1-4</f>
        <v>0</v>
      </c>
      <c r="R15" s="198"/>
      <c r="S15" s="196"/>
      <c r="T15" s="207"/>
      <c r="U15" s="198"/>
      <c r="V15" s="50">
        <v>43945</v>
      </c>
      <c r="W15" s="50"/>
      <c r="Y15" s="51"/>
      <c r="Z15" s="52" t="s">
        <v>24</v>
      </c>
      <c r="AA15" s="53" t="s">
        <v>131</v>
      </c>
    </row>
    <row r="16" spans="2:27" ht="19.5" customHeight="1">
      <c r="B16" s="339"/>
      <c r="C16" s="54" t="str">
        <f>B14</f>
        <v>フォーク</v>
      </c>
      <c r="D16" s="41">
        <v>44025</v>
      </c>
      <c r="E16" s="42" t="s">
        <v>7</v>
      </c>
      <c r="F16" s="43">
        <v>40</v>
      </c>
      <c r="G16" s="44">
        <f t="shared" si="2"/>
        <v>2</v>
      </c>
      <c r="H16" s="45"/>
      <c r="I16" s="46">
        <f t="shared" si="3"/>
        <v>38</v>
      </c>
      <c r="J16" s="47"/>
      <c r="K16" s="43">
        <f>1+1+1+1+1+2+1+1+1+3+1+3-1-2+1+1+1+1-1-1+1-1-1</f>
        <v>15</v>
      </c>
      <c r="L16" s="49"/>
      <c r="M16" s="47">
        <v>1</v>
      </c>
      <c r="N16" s="43">
        <f>2+1+1+3+1+1+2+1+1-1-1+1+1-1+2+1-2+1+1+1-2-1-1</f>
        <v>12</v>
      </c>
      <c r="O16" s="49"/>
      <c r="P16" s="47"/>
      <c r="Q16" s="43">
        <f>1+1+1+1+1+1+3+1</f>
        <v>10</v>
      </c>
      <c r="R16" s="49"/>
      <c r="S16" s="47"/>
      <c r="T16" s="85"/>
      <c r="U16" s="49"/>
      <c r="V16" s="50">
        <v>44028</v>
      </c>
      <c r="W16" s="50"/>
      <c r="Y16" s="51"/>
      <c r="Z16" s="208" t="s">
        <v>20</v>
      </c>
      <c r="AA16" s="53" t="s">
        <v>22</v>
      </c>
    </row>
    <row r="17" spans="2:68" ht="19.5" customHeight="1">
      <c r="B17" s="339"/>
      <c r="C17" s="54" t="str">
        <f>B14</f>
        <v>フォーク</v>
      </c>
      <c r="D17" s="41">
        <v>44092</v>
      </c>
      <c r="E17" s="202" t="s">
        <v>9</v>
      </c>
      <c r="F17" s="43">
        <v>30</v>
      </c>
      <c r="G17" s="44">
        <f t="shared" si="2"/>
        <v>8</v>
      </c>
      <c r="H17" s="45"/>
      <c r="I17" s="46">
        <f t="shared" si="3"/>
        <v>22</v>
      </c>
      <c r="J17" s="47"/>
      <c r="K17" s="43">
        <f>1+1+1-1+1+1+1+1+1+1-1+2-1-1-1-1</f>
        <v>5</v>
      </c>
      <c r="L17" s="49"/>
      <c r="M17" s="47"/>
      <c r="N17" s="43">
        <f>1+1+1+1+2+2+2+1+1-2-1+1+1-1-1-1</f>
        <v>8</v>
      </c>
      <c r="O17" s="49"/>
      <c r="P17" s="47"/>
      <c r="Q17" s="43">
        <f>3+1+1+1+3+1+1-3</f>
        <v>8</v>
      </c>
      <c r="R17" s="49"/>
      <c r="S17" s="47"/>
      <c r="T17" s="85">
        <v>1</v>
      </c>
      <c r="U17" s="49"/>
      <c r="V17" s="50">
        <v>44084</v>
      </c>
      <c r="W17" s="50"/>
      <c r="Y17" s="209"/>
      <c r="Z17" s="52" t="s">
        <v>24</v>
      </c>
      <c r="AA17" s="53" t="s">
        <v>131</v>
      </c>
    </row>
    <row r="18" spans="2:68" ht="19.5" customHeight="1">
      <c r="B18" s="339"/>
      <c r="C18" s="54" t="str">
        <f>B14</f>
        <v>フォーク</v>
      </c>
      <c r="D18" s="63">
        <v>44142</v>
      </c>
      <c r="E18" s="64" t="s">
        <v>7</v>
      </c>
      <c r="F18" s="203">
        <v>40</v>
      </c>
      <c r="G18" s="44">
        <f t="shared" si="2"/>
        <v>0</v>
      </c>
      <c r="H18" s="45"/>
      <c r="I18" s="46">
        <f t="shared" si="3"/>
        <v>40</v>
      </c>
      <c r="J18" s="68"/>
      <c r="K18" s="65">
        <f>1+1+1+2-1-1+1+1+1+1+1+2+1+2+1+1+2+1-1+1+1-1+1+1+1+1-1+1+2+1</f>
        <v>25</v>
      </c>
      <c r="L18" s="70"/>
      <c r="M18" s="68">
        <v>2</v>
      </c>
      <c r="N18" s="65">
        <f>2+2+1+2-1</f>
        <v>6</v>
      </c>
      <c r="O18" s="70"/>
      <c r="P18" s="68"/>
      <c r="Q18" s="65">
        <f>1+1+2+2+1-1+1-1</f>
        <v>6</v>
      </c>
      <c r="R18" s="70"/>
      <c r="S18" s="68"/>
      <c r="T18" s="86">
        <f>1+1+1-1-1</f>
        <v>1</v>
      </c>
      <c r="U18" s="70"/>
      <c r="V18" s="71">
        <v>44132</v>
      </c>
      <c r="W18" s="71"/>
      <c r="Y18" s="87"/>
      <c r="Z18" s="62" t="s">
        <v>25</v>
      </c>
      <c r="AA18" s="53" t="s">
        <v>26</v>
      </c>
    </row>
    <row r="19" spans="2:68" ht="19.5" customHeight="1">
      <c r="B19" s="339"/>
      <c r="C19" s="54" t="str">
        <f>B14</f>
        <v>フォーク</v>
      </c>
      <c r="D19" s="63">
        <v>44208</v>
      </c>
      <c r="E19" s="64" t="s">
        <v>7</v>
      </c>
      <c r="F19" s="203">
        <v>20</v>
      </c>
      <c r="G19" s="44">
        <f t="shared" si="2"/>
        <v>2</v>
      </c>
      <c r="H19" s="45"/>
      <c r="I19" s="46">
        <f t="shared" si="3"/>
        <v>18</v>
      </c>
      <c r="J19" s="68"/>
      <c r="K19" s="65">
        <f>1+1+1+1+2-2+1+1+1-1+1-1+1+1-1+1+2+1-1</f>
        <v>10</v>
      </c>
      <c r="L19" s="70"/>
      <c r="M19" s="68"/>
      <c r="N19" s="65">
        <f>2+1+1+1-2+1+1+1+1-1</f>
        <v>6</v>
      </c>
      <c r="O19" s="70"/>
      <c r="P19" s="68"/>
      <c r="Q19" s="65">
        <v>1</v>
      </c>
      <c r="R19" s="70"/>
      <c r="S19" s="68"/>
      <c r="T19" s="86">
        <v>1</v>
      </c>
      <c r="U19" s="70"/>
      <c r="V19" s="71">
        <v>44190</v>
      </c>
      <c r="W19" s="71"/>
      <c r="Y19" s="87"/>
      <c r="Z19" s="208" t="s">
        <v>20</v>
      </c>
      <c r="AA19" s="53" t="s">
        <v>22</v>
      </c>
    </row>
    <row r="20" spans="2:68" ht="19.5" customHeight="1">
      <c r="B20" s="340"/>
      <c r="C20" s="88" t="str">
        <f>B14</f>
        <v>フォーク</v>
      </c>
      <c r="D20" s="89">
        <v>44271</v>
      </c>
      <c r="E20" s="90" t="s">
        <v>7</v>
      </c>
      <c r="F20" s="65">
        <v>30</v>
      </c>
      <c r="G20" s="91">
        <f t="shared" si="2"/>
        <v>0</v>
      </c>
      <c r="H20" s="92"/>
      <c r="I20" s="93">
        <f t="shared" si="3"/>
        <v>30</v>
      </c>
      <c r="J20" s="94"/>
      <c r="K20" s="95">
        <f>1+1+2+10+6+1+1+1-16-1-1+1+1+1+1+1+1+1+1+2+1+1-1+1-1+1</f>
        <v>17</v>
      </c>
      <c r="L20" s="96">
        <f>16+1-17</f>
        <v>0</v>
      </c>
      <c r="M20" s="94"/>
      <c r="N20" s="95">
        <f>2+1+1+1+2-1+1-1</f>
        <v>6</v>
      </c>
      <c r="O20" s="96"/>
      <c r="P20" s="94"/>
      <c r="Q20" s="95">
        <f>1+1+1+2+1-1</f>
        <v>5</v>
      </c>
      <c r="R20" s="96"/>
      <c r="S20" s="94"/>
      <c r="T20" s="97">
        <v>2</v>
      </c>
      <c r="U20" s="96"/>
      <c r="V20" s="98">
        <v>44266</v>
      </c>
      <c r="W20" s="98"/>
      <c r="Y20" s="72" t="s">
        <v>135</v>
      </c>
      <c r="Z20" s="208" t="s">
        <v>20</v>
      </c>
      <c r="AA20" s="53" t="s">
        <v>22</v>
      </c>
    </row>
    <row r="21" spans="2:68" ht="19.5" customHeight="1">
      <c r="B21" s="210"/>
      <c r="C21" s="211"/>
      <c r="D21" s="212"/>
      <c r="E21" s="213"/>
      <c r="F21" s="214"/>
      <c r="G21" s="215"/>
      <c r="H21" s="113"/>
      <c r="I21" s="216"/>
      <c r="J21" s="217" t="s">
        <v>15</v>
      </c>
      <c r="K21" s="218" t="s">
        <v>34</v>
      </c>
      <c r="L21" s="219"/>
      <c r="M21" s="217" t="s">
        <v>15</v>
      </c>
      <c r="N21" s="218" t="s">
        <v>34</v>
      </c>
      <c r="O21" s="219"/>
      <c r="P21" s="217" t="s">
        <v>15</v>
      </c>
      <c r="Q21" s="218" t="s">
        <v>34</v>
      </c>
      <c r="R21" s="219"/>
      <c r="S21" s="217" t="s">
        <v>15</v>
      </c>
      <c r="T21" s="218" t="s">
        <v>34</v>
      </c>
      <c r="U21" s="219"/>
      <c r="V21" s="220"/>
      <c r="W21" s="220"/>
      <c r="Y21" s="221"/>
      <c r="Z21" s="36" t="s">
        <v>17</v>
      </c>
      <c r="AA21" s="37" t="s">
        <v>18</v>
      </c>
    </row>
    <row r="22" spans="2:68" ht="19.5" customHeight="1">
      <c r="B22" s="339" t="s">
        <v>35</v>
      </c>
      <c r="C22" s="54" t="str">
        <f>B22</f>
        <v>小移動</v>
      </c>
      <c r="D22" s="55">
        <v>43959</v>
      </c>
      <c r="E22" s="199" t="s">
        <v>129</v>
      </c>
      <c r="F22" s="56">
        <v>20</v>
      </c>
      <c r="G22" s="83">
        <f>F22-I22</f>
        <v>16</v>
      </c>
      <c r="H22" s="45"/>
      <c r="I22" s="57">
        <f t="shared" ref="I22:I25" si="4">SUM(J22:U22)</f>
        <v>4</v>
      </c>
      <c r="J22" s="222">
        <f>1+1-2</f>
        <v>0</v>
      </c>
      <c r="K22" s="59">
        <f>1+1-1-1</f>
        <v>0</v>
      </c>
      <c r="L22" s="60"/>
      <c r="M22" s="58">
        <f>1+2-2+1-1</f>
        <v>1</v>
      </c>
      <c r="N22" s="59"/>
      <c r="O22" s="60"/>
      <c r="P22" s="58"/>
      <c r="Q22" s="59">
        <v>1</v>
      </c>
      <c r="R22" s="60"/>
      <c r="S22" s="58"/>
      <c r="T22" s="59">
        <f>1+1</f>
        <v>2</v>
      </c>
      <c r="U22" s="60"/>
      <c r="V22" s="61">
        <v>43936</v>
      </c>
      <c r="W22" s="61"/>
      <c r="Y22" s="51"/>
      <c r="Z22" s="62" t="s">
        <v>25</v>
      </c>
      <c r="AA22" s="53" t="s">
        <v>26</v>
      </c>
      <c r="BP22" s="2" t="s">
        <v>36</v>
      </c>
    </row>
    <row r="23" spans="2:68" ht="17.25" customHeight="1">
      <c r="B23" s="339"/>
      <c r="C23" s="54" t="str">
        <f>B22</f>
        <v>小移動</v>
      </c>
      <c r="D23" s="41">
        <v>44021</v>
      </c>
      <c r="E23" s="202" t="s">
        <v>9</v>
      </c>
      <c r="F23" s="56">
        <v>10</v>
      </c>
      <c r="G23" s="44">
        <f>F23-I23</f>
        <v>0</v>
      </c>
      <c r="H23" s="113"/>
      <c r="I23" s="57">
        <f t="shared" si="4"/>
        <v>10</v>
      </c>
      <c r="J23" s="47">
        <f>2+1</f>
        <v>3</v>
      </c>
      <c r="K23" s="49"/>
      <c r="L23" s="49"/>
      <c r="M23" s="47">
        <v>1</v>
      </c>
      <c r="N23" s="48">
        <f>1+1+1+1+2-1</f>
        <v>5</v>
      </c>
      <c r="O23" s="49"/>
      <c r="P23" s="47"/>
      <c r="Q23" s="48">
        <v>1</v>
      </c>
      <c r="R23" s="49"/>
      <c r="S23" s="47"/>
      <c r="T23" s="48"/>
      <c r="U23" s="49"/>
      <c r="V23" s="50">
        <v>44006</v>
      </c>
      <c r="W23" s="50"/>
      <c r="Y23" s="51"/>
      <c r="Z23" s="52" t="s">
        <v>24</v>
      </c>
      <c r="AA23" s="53" t="s">
        <v>131</v>
      </c>
    </row>
    <row r="24" spans="2:68" ht="19.5" customHeight="1">
      <c r="B24" s="339"/>
      <c r="C24" s="54" t="str">
        <f>B22</f>
        <v>小移動</v>
      </c>
      <c r="D24" s="63">
        <v>44119</v>
      </c>
      <c r="E24" s="42" t="s">
        <v>7</v>
      </c>
      <c r="F24" s="56">
        <v>20</v>
      </c>
      <c r="G24" s="44">
        <f>F24-I24</f>
        <v>0</v>
      </c>
      <c r="H24" s="113"/>
      <c r="I24" s="57">
        <f t="shared" ref="I24" si="5">SUM(J24:U24)</f>
        <v>20</v>
      </c>
      <c r="J24" s="68">
        <f>2+2+1+1-1+1+1+1</f>
        <v>8</v>
      </c>
      <c r="K24" s="65">
        <f>1+1+1-1+1-1</f>
        <v>2</v>
      </c>
      <c r="L24" s="70"/>
      <c r="M24" s="68">
        <f>2+4+1</f>
        <v>7</v>
      </c>
      <c r="N24" s="69">
        <f>2-1</f>
        <v>1</v>
      </c>
      <c r="O24" s="70"/>
      <c r="P24" s="68"/>
      <c r="Q24" s="69">
        <f>1+1</f>
        <v>2</v>
      </c>
      <c r="R24" s="70"/>
      <c r="S24" s="68"/>
      <c r="T24" s="69"/>
      <c r="U24" s="70"/>
      <c r="V24" s="71">
        <v>44105</v>
      </c>
      <c r="W24" s="71"/>
      <c r="Y24" s="115"/>
      <c r="Z24" s="62" t="s">
        <v>25</v>
      </c>
      <c r="AA24" s="53" t="s">
        <v>26</v>
      </c>
    </row>
    <row r="25" spans="2:68" ht="19.5" customHeight="1">
      <c r="B25" s="340"/>
      <c r="C25" s="88" t="str">
        <f>B22</f>
        <v>小移動</v>
      </c>
      <c r="D25" s="89">
        <v>44243</v>
      </c>
      <c r="E25" s="90" t="s">
        <v>7</v>
      </c>
      <c r="F25" s="95">
        <v>0</v>
      </c>
      <c r="G25" s="91">
        <f>F25-I25</f>
        <v>0</v>
      </c>
      <c r="H25" s="116"/>
      <c r="I25" s="57">
        <f t="shared" si="4"/>
        <v>0</v>
      </c>
      <c r="J25" s="94">
        <f>2-2</f>
        <v>0</v>
      </c>
      <c r="K25" s="117"/>
      <c r="L25" s="96"/>
      <c r="M25" s="94"/>
      <c r="N25" s="117"/>
      <c r="O25" s="96"/>
      <c r="P25" s="94"/>
      <c r="Q25" s="117"/>
      <c r="R25" s="96"/>
      <c r="S25" s="94"/>
      <c r="T25" s="117"/>
      <c r="U25" s="96"/>
      <c r="V25" s="98">
        <v>44090</v>
      </c>
      <c r="W25" s="98"/>
      <c r="Y25" s="46"/>
      <c r="Z25" s="118" t="s">
        <v>130</v>
      </c>
      <c r="AA25" s="119" t="s">
        <v>22</v>
      </c>
    </row>
    <row r="26" spans="2:68" ht="19.5" customHeight="1">
      <c r="B26" s="223"/>
      <c r="C26" s="178"/>
      <c r="D26" s="224"/>
      <c r="E26" s="102" t="s">
        <v>3</v>
      </c>
      <c r="F26" s="123" t="s">
        <v>4</v>
      </c>
      <c r="G26" s="124" t="s">
        <v>37</v>
      </c>
      <c r="H26" s="12"/>
      <c r="I26" s="125" t="s">
        <v>6</v>
      </c>
      <c r="J26" s="341" t="s">
        <v>7</v>
      </c>
      <c r="K26" s="342"/>
      <c r="L26" s="343"/>
      <c r="M26" s="341" t="s">
        <v>8</v>
      </c>
      <c r="N26" s="342"/>
      <c r="O26" s="344"/>
      <c r="P26" s="341" t="s">
        <v>9</v>
      </c>
      <c r="Q26" s="342"/>
      <c r="R26" s="343"/>
      <c r="S26" s="341" t="s">
        <v>10</v>
      </c>
      <c r="T26" s="342"/>
      <c r="U26" s="343"/>
      <c r="V26" s="14" t="s">
        <v>11</v>
      </c>
      <c r="W26" s="14"/>
      <c r="Y26" s="93"/>
      <c r="Z26" s="225"/>
      <c r="AA26" s="12"/>
    </row>
    <row r="27" spans="2:68" ht="19.5" customHeight="1">
      <c r="B27" s="226"/>
      <c r="C27" s="227"/>
      <c r="D27" s="228"/>
      <c r="E27" s="9"/>
      <c r="F27" s="10"/>
      <c r="G27" s="229"/>
      <c r="H27" s="12"/>
      <c r="I27" s="35"/>
      <c r="J27" s="36" t="s">
        <v>38</v>
      </c>
      <c r="K27" s="31" t="s">
        <v>39</v>
      </c>
      <c r="L27" s="37" t="s">
        <v>40</v>
      </c>
      <c r="M27" s="36" t="s">
        <v>38</v>
      </c>
      <c r="N27" s="31" t="s">
        <v>39</v>
      </c>
      <c r="O27" s="37" t="s">
        <v>40</v>
      </c>
      <c r="P27" s="36" t="s">
        <v>38</v>
      </c>
      <c r="Q27" s="31" t="s">
        <v>39</v>
      </c>
      <c r="R27" s="37" t="s">
        <v>40</v>
      </c>
      <c r="S27" s="36" t="s">
        <v>38</v>
      </c>
      <c r="T27" s="31" t="s">
        <v>39</v>
      </c>
      <c r="U27" s="37" t="s">
        <v>40</v>
      </c>
      <c r="V27" s="35"/>
      <c r="W27" s="35"/>
      <c r="Y27" s="221"/>
      <c r="Z27" s="36" t="s">
        <v>17</v>
      </c>
      <c r="AA27" s="37" t="s">
        <v>18</v>
      </c>
    </row>
    <row r="28" spans="2:68" ht="19.5" customHeight="1">
      <c r="B28" s="349" t="s">
        <v>41</v>
      </c>
      <c r="C28" s="230" t="str">
        <f>B28</f>
        <v>高所</v>
      </c>
      <c r="D28" s="139">
        <v>43993</v>
      </c>
      <c r="E28" s="199" t="s">
        <v>129</v>
      </c>
      <c r="F28" s="231">
        <v>10</v>
      </c>
      <c r="G28" s="142">
        <f t="shared" ref="G28:G49" si="6">F28-I28</f>
        <v>7</v>
      </c>
      <c r="H28" s="45"/>
      <c r="I28" s="57">
        <f t="shared" ref="I28:I37" si="7">SUM(J28:U28)</f>
        <v>3</v>
      </c>
      <c r="J28" s="58"/>
      <c r="K28" s="59">
        <v>1</v>
      </c>
      <c r="L28" s="60"/>
      <c r="M28" s="58"/>
      <c r="N28" s="59"/>
      <c r="O28" s="60"/>
      <c r="P28" s="58"/>
      <c r="Q28" s="59">
        <f>1+1-2</f>
        <v>0</v>
      </c>
      <c r="R28" s="60"/>
      <c r="S28" s="58">
        <v>1</v>
      </c>
      <c r="T28" s="59">
        <v>1</v>
      </c>
      <c r="U28" s="60"/>
      <c r="V28" s="61">
        <v>43991</v>
      </c>
      <c r="W28" s="61"/>
      <c r="Y28" s="51"/>
      <c r="Z28" s="232" t="s">
        <v>129</v>
      </c>
      <c r="AA28" s="53" t="s">
        <v>21</v>
      </c>
    </row>
    <row r="29" spans="2:68" ht="19.5" customHeight="1">
      <c r="B29" s="339"/>
      <c r="C29" s="54" t="str">
        <f>B28</f>
        <v>高所</v>
      </c>
      <c r="D29" s="55">
        <v>44112</v>
      </c>
      <c r="E29" s="112" t="s">
        <v>7</v>
      </c>
      <c r="F29" s="200">
        <v>10</v>
      </c>
      <c r="G29" s="83">
        <f t="shared" si="6"/>
        <v>2</v>
      </c>
      <c r="H29" s="45"/>
      <c r="I29" s="57">
        <f t="shared" si="7"/>
        <v>8</v>
      </c>
      <c r="J29" s="47">
        <v>1</v>
      </c>
      <c r="K29" s="48">
        <f>1-1+1-1</f>
        <v>0</v>
      </c>
      <c r="L29" s="130"/>
      <c r="M29" s="47"/>
      <c r="N29" s="48">
        <v>3</v>
      </c>
      <c r="O29" s="130"/>
      <c r="P29" s="47"/>
      <c r="Q29" s="48">
        <f>1+4-1</f>
        <v>4</v>
      </c>
      <c r="R29" s="130"/>
      <c r="S29" s="47"/>
      <c r="T29" s="48"/>
      <c r="U29" s="130"/>
      <c r="V29" s="50">
        <v>44097</v>
      </c>
      <c r="W29" s="50"/>
      <c r="Y29" s="51"/>
      <c r="Z29" s="62" t="s">
        <v>25</v>
      </c>
      <c r="AA29" s="53" t="s">
        <v>21</v>
      </c>
    </row>
    <row r="30" spans="2:68" ht="19.5" customHeight="1">
      <c r="B30" s="340"/>
      <c r="C30" s="88" t="str">
        <f>B28</f>
        <v>高所</v>
      </c>
      <c r="D30" s="131"/>
      <c r="E30" s="132"/>
      <c r="F30" s="133"/>
      <c r="G30" s="134">
        <f t="shared" si="6"/>
        <v>0</v>
      </c>
      <c r="H30" s="45"/>
      <c r="I30" s="135"/>
      <c r="J30" s="94"/>
      <c r="K30" s="117"/>
      <c r="L30" s="136"/>
      <c r="M30" s="94"/>
      <c r="N30" s="117"/>
      <c r="O30" s="136"/>
      <c r="P30" s="94"/>
      <c r="Q30" s="117"/>
      <c r="R30" s="136"/>
      <c r="S30" s="94"/>
      <c r="T30" s="117"/>
      <c r="U30" s="136"/>
      <c r="V30" s="98"/>
      <c r="W30" s="98"/>
      <c r="Y30" s="72"/>
      <c r="Z30" s="137"/>
      <c r="AA30" s="73"/>
    </row>
    <row r="31" spans="2:68" ht="19.5" customHeight="1">
      <c r="B31" s="366" t="s">
        <v>42</v>
      </c>
      <c r="C31" s="138" t="s">
        <v>43</v>
      </c>
      <c r="D31" s="139">
        <v>43967</v>
      </c>
      <c r="E31" s="202" t="s">
        <v>9</v>
      </c>
      <c r="F31" s="141">
        <v>40</v>
      </c>
      <c r="G31" s="142">
        <f t="shared" si="6"/>
        <v>37</v>
      </c>
      <c r="H31" s="45"/>
      <c r="I31" s="233">
        <f t="shared" si="7"/>
        <v>3</v>
      </c>
      <c r="J31" s="367">
        <f>2+3-3+1+2-2</f>
        <v>3</v>
      </c>
      <c r="K31" s="368"/>
      <c r="L31" s="369"/>
      <c r="M31" s="367">
        <f>3+2-5</f>
        <v>0</v>
      </c>
      <c r="N31" s="368"/>
      <c r="O31" s="370"/>
      <c r="P31" s="367">
        <f>2+1+5+2+1-6-5</f>
        <v>0</v>
      </c>
      <c r="Q31" s="368"/>
      <c r="R31" s="369"/>
      <c r="S31" s="367"/>
      <c r="T31" s="368"/>
      <c r="U31" s="369"/>
      <c r="V31" s="144">
        <v>43930</v>
      </c>
      <c r="W31" s="144"/>
      <c r="X31" s="144"/>
      <c r="Y31" s="145"/>
      <c r="Z31" s="146" t="s">
        <v>24</v>
      </c>
      <c r="AA31" s="147" t="s">
        <v>136</v>
      </c>
    </row>
    <row r="32" spans="2:68" ht="19.5" customHeight="1">
      <c r="B32" s="339"/>
      <c r="C32" s="148" t="s">
        <v>45</v>
      </c>
      <c r="D32" s="41">
        <v>43994</v>
      </c>
      <c r="E32" s="42" t="s">
        <v>7</v>
      </c>
      <c r="F32" s="200">
        <v>34</v>
      </c>
      <c r="G32" s="83">
        <f t="shared" si="6"/>
        <v>3</v>
      </c>
      <c r="H32" s="45"/>
      <c r="I32" s="57">
        <f t="shared" si="7"/>
        <v>31</v>
      </c>
      <c r="J32" s="346">
        <f>3+1+1-1+1+1+2+1+1+2+1+2+1+1</f>
        <v>17</v>
      </c>
      <c r="K32" s="347"/>
      <c r="L32" s="348"/>
      <c r="M32" s="346"/>
      <c r="N32" s="347"/>
      <c r="O32" s="348"/>
      <c r="P32" s="346">
        <f>1+6+2+4+2+2+2-6+1</f>
        <v>14</v>
      </c>
      <c r="Q32" s="347"/>
      <c r="R32" s="348"/>
      <c r="S32" s="346"/>
      <c r="T32" s="347"/>
      <c r="U32" s="348"/>
      <c r="V32" s="50">
        <v>43980</v>
      </c>
      <c r="W32" s="50"/>
      <c r="Y32" s="51"/>
      <c r="Z32" s="234" t="s">
        <v>137</v>
      </c>
      <c r="AA32" s="149" t="s">
        <v>138</v>
      </c>
    </row>
    <row r="33" spans="1:27" ht="19.5" customHeight="1">
      <c r="B33" s="339"/>
      <c r="C33" s="148" t="s">
        <v>45</v>
      </c>
      <c r="D33" s="41">
        <v>44086</v>
      </c>
      <c r="E33" s="202" t="s">
        <v>9</v>
      </c>
      <c r="F33" s="200">
        <v>30</v>
      </c>
      <c r="G33" s="83">
        <f t="shared" si="6"/>
        <v>0</v>
      </c>
      <c r="H33" s="45"/>
      <c r="I33" s="57">
        <f t="shared" si="7"/>
        <v>30</v>
      </c>
      <c r="J33" s="346">
        <f>1+1</f>
        <v>2</v>
      </c>
      <c r="K33" s="347"/>
      <c r="L33" s="348"/>
      <c r="M33" s="346">
        <f>5+1+2+2</f>
        <v>10</v>
      </c>
      <c r="N33" s="347"/>
      <c r="O33" s="348"/>
      <c r="P33" s="346">
        <f>2+2+6+1+1+2+1+1+1+1</f>
        <v>18</v>
      </c>
      <c r="Q33" s="347"/>
      <c r="R33" s="348"/>
      <c r="S33" s="346"/>
      <c r="T33" s="347"/>
      <c r="U33" s="348"/>
      <c r="V33" s="50">
        <v>44062</v>
      </c>
      <c r="W33" s="50"/>
      <c r="Y33" s="51"/>
      <c r="Z33" s="52" t="s">
        <v>24</v>
      </c>
      <c r="AA33" s="150" t="s">
        <v>136</v>
      </c>
    </row>
    <row r="34" spans="1:27" ht="19.5" customHeight="1">
      <c r="B34" s="339"/>
      <c r="C34" s="148" t="s">
        <v>45</v>
      </c>
      <c r="D34" s="63">
        <v>44162</v>
      </c>
      <c r="E34" s="42" t="s">
        <v>7</v>
      </c>
      <c r="F34" s="56">
        <v>40</v>
      </c>
      <c r="G34" s="83">
        <f t="shared" si="6"/>
        <v>11</v>
      </c>
      <c r="H34" s="45"/>
      <c r="I34" s="57">
        <f t="shared" si="7"/>
        <v>29</v>
      </c>
      <c r="J34" s="350">
        <f>3+1+2+1+1+3+1+2+1+1+1+1</f>
        <v>18</v>
      </c>
      <c r="K34" s="351"/>
      <c r="L34" s="348"/>
      <c r="M34" s="346">
        <f>1+1+2-1</f>
        <v>3</v>
      </c>
      <c r="N34" s="347"/>
      <c r="O34" s="352"/>
      <c r="P34" s="353">
        <f>1+1+2+1+1+1+1</f>
        <v>8</v>
      </c>
      <c r="Q34" s="354"/>
      <c r="R34" s="355"/>
      <c r="S34" s="115"/>
      <c r="T34" s="86"/>
      <c r="U34" s="151"/>
      <c r="V34" s="71">
        <v>44153</v>
      </c>
      <c r="W34" s="71"/>
      <c r="Y34" s="115"/>
      <c r="Z34" s="52" t="s">
        <v>20</v>
      </c>
      <c r="AA34" s="149" t="s">
        <v>138</v>
      </c>
    </row>
    <row r="35" spans="1:27" ht="19.5" customHeight="1">
      <c r="B35" s="340"/>
      <c r="C35" s="152" t="s">
        <v>45</v>
      </c>
      <c r="D35" s="89">
        <v>44240</v>
      </c>
      <c r="E35" s="202" t="s">
        <v>9</v>
      </c>
      <c r="F35" s="200">
        <v>30</v>
      </c>
      <c r="G35" s="134">
        <f t="shared" si="6"/>
        <v>17</v>
      </c>
      <c r="H35" s="45"/>
      <c r="I35" s="57">
        <f t="shared" si="7"/>
        <v>13</v>
      </c>
      <c r="J35" s="356">
        <f>1+2</f>
        <v>3</v>
      </c>
      <c r="K35" s="357"/>
      <c r="L35" s="358"/>
      <c r="M35" s="356">
        <f>2-1</f>
        <v>1</v>
      </c>
      <c r="N35" s="357"/>
      <c r="O35" s="358"/>
      <c r="P35" s="356">
        <f>1+3+1+2+1+1</f>
        <v>9</v>
      </c>
      <c r="Q35" s="357"/>
      <c r="R35" s="358"/>
      <c r="S35" s="356"/>
      <c r="T35" s="357"/>
      <c r="U35" s="358"/>
      <c r="V35" s="98">
        <v>44175</v>
      </c>
      <c r="W35" s="98"/>
      <c r="Y35" s="115"/>
      <c r="Z35" s="193" t="s">
        <v>24</v>
      </c>
      <c r="AA35" s="235" t="s">
        <v>136</v>
      </c>
    </row>
    <row r="36" spans="1:27" ht="19.5" customHeight="1">
      <c r="B36" s="349" t="s">
        <v>47</v>
      </c>
      <c r="C36" s="54" t="str">
        <f>B36</f>
        <v>ガス溶接</v>
      </c>
      <c r="D36" s="55">
        <v>44029</v>
      </c>
      <c r="E36" s="112" t="s">
        <v>7</v>
      </c>
      <c r="F36" s="200">
        <v>30</v>
      </c>
      <c r="G36" s="83">
        <f t="shared" si="6"/>
        <v>4</v>
      </c>
      <c r="H36" s="45"/>
      <c r="I36" s="143">
        <f t="shared" si="7"/>
        <v>26</v>
      </c>
      <c r="J36" s="359">
        <f>1+13+1+1+1+1-1+1+1-1+1+1-1-1-1-1</f>
        <v>16</v>
      </c>
      <c r="K36" s="360"/>
      <c r="L36" s="361"/>
      <c r="M36" s="359">
        <f>5+1+3-1+1</f>
        <v>9</v>
      </c>
      <c r="N36" s="360"/>
      <c r="O36" s="362"/>
      <c r="P36" s="359">
        <v>1</v>
      </c>
      <c r="Q36" s="360"/>
      <c r="R36" s="361"/>
      <c r="S36" s="359"/>
      <c r="T36" s="360"/>
      <c r="U36" s="361"/>
      <c r="V36" s="61">
        <v>44032</v>
      </c>
      <c r="W36" s="61"/>
      <c r="Y36" s="145"/>
      <c r="Z36" s="236" t="s">
        <v>139</v>
      </c>
      <c r="AA36" s="237" t="s">
        <v>140</v>
      </c>
    </row>
    <row r="37" spans="1:27" ht="19.5" customHeight="1">
      <c r="B37" s="340"/>
      <c r="C37" s="88" t="str">
        <f>B36</f>
        <v>ガス溶接</v>
      </c>
      <c r="D37" s="89">
        <v>44148</v>
      </c>
      <c r="E37" s="90" t="s">
        <v>7</v>
      </c>
      <c r="F37" s="238">
        <f>45+3</f>
        <v>48</v>
      </c>
      <c r="G37" s="66">
        <f t="shared" si="6"/>
        <v>0</v>
      </c>
      <c r="H37" s="45"/>
      <c r="I37" s="159">
        <f t="shared" si="7"/>
        <v>48</v>
      </c>
      <c r="J37" s="363">
        <f>1+1+20+1+2-1+1+1-1+1+2+2+1-1+4+1-1+1-1+1+1</f>
        <v>36</v>
      </c>
      <c r="K37" s="364"/>
      <c r="L37" s="365"/>
      <c r="M37" s="363">
        <f>3+1</f>
        <v>4</v>
      </c>
      <c r="N37" s="364"/>
      <c r="O37" s="371"/>
      <c r="P37" s="363">
        <f>1+7-1+1</f>
        <v>8</v>
      </c>
      <c r="Q37" s="364"/>
      <c r="R37" s="365"/>
      <c r="S37" s="363"/>
      <c r="T37" s="364"/>
      <c r="U37" s="365"/>
      <c r="V37" s="71">
        <v>44132</v>
      </c>
      <c r="W37" s="71" t="s">
        <v>141</v>
      </c>
      <c r="Y37" s="72"/>
      <c r="Z37" s="137" t="s">
        <v>25</v>
      </c>
      <c r="AA37" s="73" t="s">
        <v>142</v>
      </c>
    </row>
    <row r="38" spans="1:27" ht="19.5" customHeight="1">
      <c r="B38" s="6"/>
      <c r="C38" s="7"/>
      <c r="D38" s="8"/>
      <c r="E38" s="9" t="s">
        <v>3</v>
      </c>
      <c r="F38" s="10" t="s">
        <v>4</v>
      </c>
      <c r="G38" s="124" t="s">
        <v>5</v>
      </c>
      <c r="H38" s="12"/>
      <c r="I38" s="13" t="s">
        <v>6</v>
      </c>
      <c r="J38" s="341" t="s">
        <v>7</v>
      </c>
      <c r="K38" s="342"/>
      <c r="L38" s="343"/>
      <c r="M38" s="341" t="s">
        <v>8</v>
      </c>
      <c r="N38" s="342"/>
      <c r="O38" s="344"/>
      <c r="P38" s="341" t="s">
        <v>9</v>
      </c>
      <c r="Q38" s="342"/>
      <c r="R38" s="343"/>
      <c r="S38" s="341" t="s">
        <v>10</v>
      </c>
      <c r="T38" s="342"/>
      <c r="U38" s="343"/>
      <c r="V38" s="14" t="s">
        <v>11</v>
      </c>
      <c r="W38" s="14"/>
      <c r="Y38" s="15" t="s">
        <v>13</v>
      </c>
      <c r="Z38" s="16"/>
      <c r="AA38" s="16"/>
    </row>
    <row r="39" spans="1:27" ht="19.5" customHeight="1">
      <c r="B39" s="349" t="s">
        <v>49</v>
      </c>
      <c r="C39" s="54" t="str">
        <f>B39</f>
        <v>ﾌﾙ･ﾊｰﾈｽ</v>
      </c>
      <c r="D39" s="139">
        <v>43941</v>
      </c>
      <c r="E39" s="140" t="s">
        <v>7</v>
      </c>
      <c r="F39" s="239">
        <v>40</v>
      </c>
      <c r="G39" s="83">
        <f t="shared" ref="G39:G47" si="8">F39-I39</f>
        <v>40</v>
      </c>
      <c r="H39" s="3"/>
      <c r="I39" s="145">
        <f t="shared" ref="I39:I47" si="9">SUM(J39:U39)</f>
        <v>0</v>
      </c>
      <c r="J39" s="372">
        <f>3-3+1-1</f>
        <v>0</v>
      </c>
      <c r="K39" s="372"/>
      <c r="L39" s="372"/>
      <c r="M39" s="372"/>
      <c r="N39" s="372"/>
      <c r="O39" s="373"/>
      <c r="P39" s="372">
        <f>1-1</f>
        <v>0</v>
      </c>
      <c r="Q39" s="372"/>
      <c r="R39" s="372"/>
      <c r="S39" s="372"/>
      <c r="T39" s="372"/>
      <c r="U39" s="372"/>
      <c r="V39" s="240">
        <v>43921</v>
      </c>
      <c r="W39" s="240"/>
      <c r="Y39" s="145"/>
      <c r="Z39" s="241" t="s">
        <v>143</v>
      </c>
      <c r="AA39" s="175"/>
    </row>
    <row r="40" spans="1:27" ht="19.5" customHeight="1">
      <c r="B40" s="339"/>
      <c r="C40" s="54" t="str">
        <f>B39</f>
        <v>ﾌﾙ･ﾊｰﾈｽ</v>
      </c>
      <c r="D40" s="41">
        <v>43978</v>
      </c>
      <c r="E40" s="202" t="s">
        <v>9</v>
      </c>
      <c r="F40" s="169">
        <v>40</v>
      </c>
      <c r="G40" s="83">
        <f t="shared" si="8"/>
        <v>40</v>
      </c>
      <c r="H40" s="3"/>
      <c r="I40" s="51">
        <f t="shared" si="9"/>
        <v>0</v>
      </c>
      <c r="J40" s="374"/>
      <c r="K40" s="374"/>
      <c r="L40" s="374"/>
      <c r="M40" s="374"/>
      <c r="N40" s="374"/>
      <c r="O40" s="375"/>
      <c r="P40" s="374">
        <f>1-1</f>
        <v>0</v>
      </c>
      <c r="Q40" s="374"/>
      <c r="R40" s="374"/>
      <c r="S40" s="374"/>
      <c r="T40" s="374"/>
      <c r="U40" s="374"/>
      <c r="V40" s="170">
        <v>43927</v>
      </c>
      <c r="W40" s="170"/>
      <c r="Y40" s="51"/>
      <c r="Z40" s="52" t="s">
        <v>24</v>
      </c>
      <c r="AA40" s="171"/>
    </row>
    <row r="41" spans="1:27" ht="19.5" customHeight="1">
      <c r="B41" s="339"/>
      <c r="C41" s="54" t="str">
        <f t="shared" ref="C41" si="10">B39</f>
        <v>ﾌﾙ･ﾊｰﾈｽ</v>
      </c>
      <c r="D41" s="41">
        <v>44001</v>
      </c>
      <c r="E41" s="42" t="s">
        <v>7</v>
      </c>
      <c r="F41" s="242">
        <v>30</v>
      </c>
      <c r="G41" s="83">
        <f t="shared" si="8"/>
        <v>7</v>
      </c>
      <c r="H41" s="3"/>
      <c r="I41" s="51">
        <f t="shared" si="9"/>
        <v>23</v>
      </c>
      <c r="J41" s="376">
        <f>3+3+1-1+1-1+1+1+3+1+1-1+4-4+1+1+1-1</f>
        <v>14</v>
      </c>
      <c r="K41" s="376"/>
      <c r="L41" s="376"/>
      <c r="M41" s="376"/>
      <c r="N41" s="376"/>
      <c r="O41" s="377"/>
      <c r="P41" s="376">
        <f>1+1+1-1+3+1-1+3+5-4</f>
        <v>9</v>
      </c>
      <c r="Q41" s="376"/>
      <c r="R41" s="376"/>
      <c r="S41" s="376"/>
      <c r="T41" s="376"/>
      <c r="U41" s="376"/>
      <c r="V41" s="170">
        <v>44000</v>
      </c>
      <c r="W41" s="170"/>
      <c r="Y41" s="51"/>
      <c r="Z41" s="234" t="s">
        <v>137</v>
      </c>
      <c r="AA41" s="171"/>
    </row>
    <row r="42" spans="1:27" ht="19.5" customHeight="1">
      <c r="A42" s="2" t="s">
        <v>51</v>
      </c>
      <c r="B42" s="339"/>
      <c r="C42" s="54" t="str">
        <f>B39</f>
        <v>ﾌﾙ･ﾊｰﾈｽ</v>
      </c>
      <c r="D42" s="41">
        <v>44079</v>
      </c>
      <c r="E42" s="202" t="s">
        <v>9</v>
      </c>
      <c r="F42" s="200">
        <v>30</v>
      </c>
      <c r="G42" s="83">
        <f t="shared" si="8"/>
        <v>13</v>
      </c>
      <c r="H42" s="3"/>
      <c r="I42" s="51">
        <f t="shared" ref="I42:I43" si="11">SUM(J42:U42)</f>
        <v>17</v>
      </c>
      <c r="J42" s="376">
        <f>1-1+3+2+4+2-3+1-1</f>
        <v>8</v>
      </c>
      <c r="K42" s="376"/>
      <c r="L42" s="376"/>
      <c r="M42" s="376">
        <f>5-5</f>
        <v>0</v>
      </c>
      <c r="N42" s="376"/>
      <c r="O42" s="377"/>
      <c r="P42" s="376">
        <f>1+1+3+1+1+2-1+1+1-1</f>
        <v>9</v>
      </c>
      <c r="Q42" s="376"/>
      <c r="R42" s="376"/>
      <c r="S42" s="376"/>
      <c r="T42" s="376"/>
      <c r="U42" s="376"/>
      <c r="V42" s="170">
        <v>44078</v>
      </c>
      <c r="W42" s="170"/>
      <c r="Y42" s="51"/>
      <c r="Z42" s="52" t="s">
        <v>24</v>
      </c>
      <c r="AA42" s="171"/>
    </row>
    <row r="43" spans="1:27" ht="19.5" customHeight="1">
      <c r="B43" s="339"/>
      <c r="C43" s="54" t="str">
        <f>B39</f>
        <v>ﾌﾙ･ﾊｰﾈｽ</v>
      </c>
      <c r="D43" s="41">
        <v>44153</v>
      </c>
      <c r="E43" s="42" t="s">
        <v>7</v>
      </c>
      <c r="F43" s="169">
        <v>40</v>
      </c>
      <c r="G43" s="83">
        <f t="shared" si="8"/>
        <v>25</v>
      </c>
      <c r="H43" s="3"/>
      <c r="I43" s="51">
        <f t="shared" si="11"/>
        <v>15</v>
      </c>
      <c r="J43" s="376">
        <f>1+2+1-2+1+1+1+1+1+1-1</f>
        <v>7</v>
      </c>
      <c r="K43" s="376"/>
      <c r="L43" s="376"/>
      <c r="M43" s="376">
        <f>3+2-1</f>
        <v>4</v>
      </c>
      <c r="N43" s="376"/>
      <c r="O43" s="377"/>
      <c r="P43" s="376">
        <f>2+2</f>
        <v>4</v>
      </c>
      <c r="Q43" s="376"/>
      <c r="R43" s="376"/>
      <c r="S43" s="376"/>
      <c r="T43" s="376"/>
      <c r="U43" s="376"/>
      <c r="V43" s="170">
        <v>44151</v>
      </c>
      <c r="W43" s="170"/>
      <c r="Y43" s="51"/>
      <c r="Z43" s="62" t="s">
        <v>25</v>
      </c>
      <c r="AA43" s="171"/>
    </row>
    <row r="44" spans="1:27" ht="19.5" customHeight="1">
      <c r="B44" s="340"/>
      <c r="C44" s="88" t="str">
        <f>B39</f>
        <v>ﾌﾙ･ﾊｰﾈｽ</v>
      </c>
      <c r="D44" s="63">
        <v>44252</v>
      </c>
      <c r="E44" s="243" t="s">
        <v>9</v>
      </c>
      <c r="F44" s="200">
        <v>30</v>
      </c>
      <c r="G44" s="66">
        <f t="shared" si="8"/>
        <v>30</v>
      </c>
      <c r="H44" s="3"/>
      <c r="I44" s="72">
        <f t="shared" si="9"/>
        <v>0</v>
      </c>
      <c r="J44" s="379">
        <f>1-1+1+1-2</f>
        <v>0</v>
      </c>
      <c r="K44" s="379"/>
      <c r="L44" s="379"/>
      <c r="M44" s="379"/>
      <c r="N44" s="379"/>
      <c r="O44" s="380"/>
      <c r="P44" s="379"/>
      <c r="Q44" s="379"/>
      <c r="R44" s="379"/>
      <c r="S44" s="379"/>
      <c r="T44" s="379"/>
      <c r="U44" s="379"/>
      <c r="V44" s="173">
        <v>44225</v>
      </c>
      <c r="W44" s="173"/>
      <c r="Y44" s="115"/>
      <c r="Z44" s="193" t="s">
        <v>24</v>
      </c>
      <c r="AA44" s="174"/>
    </row>
    <row r="45" spans="1:27" ht="19.5" customHeight="1">
      <c r="B45" s="366" t="s">
        <v>52</v>
      </c>
      <c r="C45" s="17" t="s">
        <v>53</v>
      </c>
      <c r="D45" s="139">
        <v>43948</v>
      </c>
      <c r="E45" s="140" t="s">
        <v>7</v>
      </c>
      <c r="F45" s="141">
        <v>40</v>
      </c>
      <c r="G45" s="142">
        <f t="shared" si="8"/>
        <v>40</v>
      </c>
      <c r="H45" s="3"/>
      <c r="I45" s="143">
        <f t="shared" si="9"/>
        <v>0</v>
      </c>
      <c r="J45" s="367">
        <f>1+1+2-1-1-2</f>
        <v>0</v>
      </c>
      <c r="K45" s="368"/>
      <c r="L45" s="369"/>
      <c r="M45" s="367">
        <f>1-1</f>
        <v>0</v>
      </c>
      <c r="N45" s="368"/>
      <c r="O45" s="370"/>
      <c r="P45" s="367">
        <f>1-1</f>
        <v>0</v>
      </c>
      <c r="Q45" s="368"/>
      <c r="R45" s="369"/>
      <c r="S45" s="367"/>
      <c r="T45" s="368"/>
      <c r="U45" s="369"/>
      <c r="V45" s="144">
        <v>43931</v>
      </c>
      <c r="W45" s="144"/>
      <c r="Y45" s="145"/>
      <c r="Z45" s="241" t="s">
        <v>25</v>
      </c>
      <c r="AA45" s="175"/>
    </row>
    <row r="46" spans="1:27" ht="19.5" customHeight="1">
      <c r="B46" s="381"/>
      <c r="C46" s="176" t="s">
        <v>53</v>
      </c>
      <c r="D46" s="41">
        <v>44042</v>
      </c>
      <c r="E46" s="244" t="s">
        <v>8</v>
      </c>
      <c r="F46" s="203">
        <v>20</v>
      </c>
      <c r="G46" s="44">
        <f t="shared" si="8"/>
        <v>9</v>
      </c>
      <c r="H46" s="3"/>
      <c r="I46" s="46">
        <f t="shared" ref="I46" si="12">SUM(J46:U46)</f>
        <v>11</v>
      </c>
      <c r="J46" s="346">
        <f>1+1+1+1+1</f>
        <v>5</v>
      </c>
      <c r="K46" s="347"/>
      <c r="L46" s="352"/>
      <c r="M46" s="346">
        <f>1+1+1+2-1</f>
        <v>4</v>
      </c>
      <c r="N46" s="347"/>
      <c r="O46" s="348"/>
      <c r="P46" s="346">
        <f>1+1</f>
        <v>2</v>
      </c>
      <c r="Q46" s="347"/>
      <c r="R46" s="352"/>
      <c r="S46" s="346"/>
      <c r="T46" s="347"/>
      <c r="U46" s="352"/>
      <c r="V46" s="50">
        <v>44034</v>
      </c>
      <c r="W46" s="50"/>
      <c r="Y46" s="51"/>
      <c r="Z46" s="62" t="s">
        <v>144</v>
      </c>
      <c r="AA46" s="171"/>
    </row>
    <row r="47" spans="1:27" ht="19.5" customHeight="1">
      <c r="B47" s="340"/>
      <c r="C47" s="132" t="s">
        <v>53</v>
      </c>
      <c r="D47" s="89">
        <v>44091</v>
      </c>
      <c r="E47" s="90" t="s">
        <v>7</v>
      </c>
      <c r="F47" s="95">
        <v>40</v>
      </c>
      <c r="G47" s="91">
        <f t="shared" si="8"/>
        <v>21</v>
      </c>
      <c r="H47" s="3"/>
      <c r="I47" s="93">
        <f t="shared" si="9"/>
        <v>19</v>
      </c>
      <c r="J47" s="356">
        <f>1+2+1+1+1+1+1+1+1</f>
        <v>10</v>
      </c>
      <c r="K47" s="357"/>
      <c r="L47" s="378"/>
      <c r="M47" s="356">
        <f>1+1+2+1+1-1-1</f>
        <v>4</v>
      </c>
      <c r="N47" s="357"/>
      <c r="O47" s="358"/>
      <c r="P47" s="356">
        <f>2+1+1+1</f>
        <v>5</v>
      </c>
      <c r="Q47" s="357"/>
      <c r="R47" s="378"/>
      <c r="S47" s="356"/>
      <c r="T47" s="357"/>
      <c r="U47" s="378"/>
      <c r="V47" s="98">
        <v>44089</v>
      </c>
      <c r="W47" s="98"/>
      <c r="Y47" s="72"/>
      <c r="Z47" s="245" t="s">
        <v>145</v>
      </c>
      <c r="AA47" s="177"/>
    </row>
    <row r="48" spans="1:27" ht="19.5" customHeight="1">
      <c r="B48" s="366" t="s">
        <v>55</v>
      </c>
      <c r="C48" s="54" t="s">
        <v>56</v>
      </c>
      <c r="D48" s="55">
        <v>43973</v>
      </c>
      <c r="E48" s="112" t="s">
        <v>7</v>
      </c>
      <c r="F48" s="56">
        <v>40</v>
      </c>
      <c r="G48" s="83">
        <f t="shared" si="6"/>
        <v>40</v>
      </c>
      <c r="H48" s="45"/>
      <c r="I48" s="57">
        <f t="shared" ref="I48:I49" si="13">SUM(J48:U48)</f>
        <v>0</v>
      </c>
      <c r="J48" s="382">
        <f>1+1+4-4-1-1</f>
        <v>0</v>
      </c>
      <c r="K48" s="383"/>
      <c r="L48" s="384"/>
      <c r="M48" s="382">
        <f>1-1</f>
        <v>0</v>
      </c>
      <c r="N48" s="383"/>
      <c r="O48" s="385"/>
      <c r="P48" s="382">
        <f>1+1-2</f>
        <v>0</v>
      </c>
      <c r="Q48" s="383"/>
      <c r="R48" s="384"/>
      <c r="S48" s="382"/>
      <c r="T48" s="383"/>
      <c r="U48" s="384"/>
      <c r="V48" s="61">
        <v>43931</v>
      </c>
      <c r="W48" s="61"/>
      <c r="Y48" s="156"/>
      <c r="Z48" s="157" t="s">
        <v>25</v>
      </c>
      <c r="AA48" s="34"/>
    </row>
    <row r="49" spans="2:27" ht="19.5" customHeight="1">
      <c r="B49" s="340"/>
      <c r="C49" s="88" t="s">
        <v>56</v>
      </c>
      <c r="D49" s="89">
        <v>44120</v>
      </c>
      <c r="E49" s="90" t="s">
        <v>7</v>
      </c>
      <c r="F49" s="95">
        <v>40</v>
      </c>
      <c r="G49" s="91">
        <f t="shared" si="6"/>
        <v>24</v>
      </c>
      <c r="H49" s="45"/>
      <c r="I49" s="135">
        <f t="shared" si="13"/>
        <v>16</v>
      </c>
      <c r="J49" s="356">
        <f>1+1+1+1+1+1+1+4-1+1+1</f>
        <v>12</v>
      </c>
      <c r="K49" s="357"/>
      <c r="L49" s="378"/>
      <c r="M49" s="356">
        <v>1</v>
      </c>
      <c r="N49" s="357"/>
      <c r="O49" s="358"/>
      <c r="P49" s="356">
        <f>1+1+1+1-1+1-1</f>
        <v>3</v>
      </c>
      <c r="Q49" s="357"/>
      <c r="R49" s="378"/>
      <c r="S49" s="356"/>
      <c r="T49" s="357"/>
      <c r="U49" s="378"/>
      <c r="V49" s="98">
        <v>44117</v>
      </c>
      <c r="W49" s="98"/>
      <c r="Y49" s="72"/>
      <c r="Z49" s="137" t="s">
        <v>143</v>
      </c>
      <c r="AA49" s="177"/>
    </row>
    <row r="50" spans="2:27" ht="19.5" customHeight="1" thickBot="1">
      <c r="B50" s="223"/>
      <c r="C50" s="178"/>
      <c r="D50" s="246"/>
      <c r="E50" s="102" t="s">
        <v>3</v>
      </c>
      <c r="F50" s="123" t="s">
        <v>4</v>
      </c>
      <c r="G50" s="180" t="s">
        <v>37</v>
      </c>
      <c r="H50" s="12"/>
      <c r="I50" s="181" t="s">
        <v>6</v>
      </c>
      <c r="J50" s="341" t="s">
        <v>7</v>
      </c>
      <c r="K50" s="342"/>
      <c r="L50" s="343"/>
      <c r="M50" s="341" t="s">
        <v>8</v>
      </c>
      <c r="N50" s="342"/>
      <c r="O50" s="344"/>
      <c r="P50" s="341" t="s">
        <v>9</v>
      </c>
      <c r="Q50" s="342"/>
      <c r="R50" s="343"/>
      <c r="S50" s="341" t="s">
        <v>10</v>
      </c>
      <c r="T50" s="342"/>
      <c r="U50" s="343"/>
      <c r="V50" s="125" t="s">
        <v>11</v>
      </c>
      <c r="W50" s="125" t="str">
        <f>W3</f>
        <v>キャンセル待ち</v>
      </c>
    </row>
    <row r="55" spans="2:27">
      <c r="J55" s="2" t="s">
        <v>51</v>
      </c>
    </row>
  </sheetData>
  <mergeCells count="96">
    <mergeCell ref="J50:L50"/>
    <mergeCell ref="M50:O50"/>
    <mergeCell ref="P50:R50"/>
    <mergeCell ref="S50:U50"/>
    <mergeCell ref="B45:B47"/>
    <mergeCell ref="J45:L45"/>
    <mergeCell ref="M45:O45"/>
    <mergeCell ref="P45:R45"/>
    <mergeCell ref="S45:U45"/>
    <mergeCell ref="J46:L46"/>
    <mergeCell ref="B48:B49"/>
    <mergeCell ref="J48:L48"/>
    <mergeCell ref="M48:O48"/>
    <mergeCell ref="P48:R48"/>
    <mergeCell ref="S48:U48"/>
    <mergeCell ref="J49:L49"/>
    <mergeCell ref="M49:O49"/>
    <mergeCell ref="P49:R49"/>
    <mergeCell ref="S49:U49"/>
    <mergeCell ref="M46:O46"/>
    <mergeCell ref="P46:R46"/>
    <mergeCell ref="S46:U46"/>
    <mergeCell ref="J47:L47"/>
    <mergeCell ref="J43:L43"/>
    <mergeCell ref="M43:O43"/>
    <mergeCell ref="P43:R43"/>
    <mergeCell ref="S43:U43"/>
    <mergeCell ref="J44:L44"/>
    <mergeCell ref="M44:O44"/>
    <mergeCell ref="P44:R44"/>
    <mergeCell ref="S44:U44"/>
    <mergeCell ref="M47:O47"/>
    <mergeCell ref="P47:R47"/>
    <mergeCell ref="S47:U47"/>
    <mergeCell ref="S41:U41"/>
    <mergeCell ref="J42:L42"/>
    <mergeCell ref="M42:O42"/>
    <mergeCell ref="P42:R42"/>
    <mergeCell ref="S42:U42"/>
    <mergeCell ref="J38:L38"/>
    <mergeCell ref="M38:O38"/>
    <mergeCell ref="P38:R38"/>
    <mergeCell ref="S38:U38"/>
    <mergeCell ref="B39:B44"/>
    <mergeCell ref="J39:L39"/>
    <mergeCell ref="M39:O39"/>
    <mergeCell ref="P39:R39"/>
    <mergeCell ref="S39:U39"/>
    <mergeCell ref="J40:L40"/>
    <mergeCell ref="M40:O40"/>
    <mergeCell ref="P40:R40"/>
    <mergeCell ref="S40:U40"/>
    <mergeCell ref="J41:L41"/>
    <mergeCell ref="M41:O41"/>
    <mergeCell ref="P41:R41"/>
    <mergeCell ref="S35:U35"/>
    <mergeCell ref="B36:B37"/>
    <mergeCell ref="J36:L36"/>
    <mergeCell ref="M36:O36"/>
    <mergeCell ref="P36:R36"/>
    <mergeCell ref="S36:U36"/>
    <mergeCell ref="J37:L37"/>
    <mergeCell ref="B31:B35"/>
    <mergeCell ref="J31:L31"/>
    <mergeCell ref="M31:O31"/>
    <mergeCell ref="P31:R31"/>
    <mergeCell ref="S31:U31"/>
    <mergeCell ref="J32:L32"/>
    <mergeCell ref="M37:O37"/>
    <mergeCell ref="P37:R37"/>
    <mergeCell ref="S37:U37"/>
    <mergeCell ref="J34:L34"/>
    <mergeCell ref="M34:O34"/>
    <mergeCell ref="P34:R34"/>
    <mergeCell ref="J35:L35"/>
    <mergeCell ref="M35:O35"/>
    <mergeCell ref="P35:R35"/>
    <mergeCell ref="M32:O32"/>
    <mergeCell ref="P32:R32"/>
    <mergeCell ref="S32:U32"/>
    <mergeCell ref="J33:L33"/>
    <mergeCell ref="B22:B25"/>
    <mergeCell ref="J26:L26"/>
    <mergeCell ref="M26:O26"/>
    <mergeCell ref="P26:R26"/>
    <mergeCell ref="S26:U26"/>
    <mergeCell ref="B28:B30"/>
    <mergeCell ref="M33:O33"/>
    <mergeCell ref="P33:R33"/>
    <mergeCell ref="S33:U33"/>
    <mergeCell ref="B14:B20"/>
    <mergeCell ref="J3:L3"/>
    <mergeCell ref="M3:O3"/>
    <mergeCell ref="P3:R3"/>
    <mergeCell ref="S3:U3"/>
    <mergeCell ref="B6:B12"/>
  </mergeCells>
  <phoneticPr fontId="3"/>
  <conditionalFormatting sqref="G28:G33 G22:G23 G6:G12 G14:G20 G25:G26 G35 G48:G49">
    <cfRule type="cellIs" dxfId="56" priority="9" stopIfTrue="1" operator="lessThanOrEqual">
      <formula>3</formula>
    </cfRule>
  </conditionalFormatting>
  <conditionalFormatting sqref="G24">
    <cfRule type="cellIs" dxfId="55" priority="8" stopIfTrue="1" operator="lessThanOrEqual">
      <formula>3</formula>
    </cfRule>
  </conditionalFormatting>
  <conditionalFormatting sqref="G34">
    <cfRule type="cellIs" dxfId="54" priority="7" stopIfTrue="1" operator="lessThanOrEqual">
      <formula>3</formula>
    </cfRule>
  </conditionalFormatting>
  <conditionalFormatting sqref="G39 G44">
    <cfRule type="cellIs" dxfId="53" priority="6" stopIfTrue="1" operator="lessThanOrEqual">
      <formula>3</formula>
    </cfRule>
  </conditionalFormatting>
  <conditionalFormatting sqref="G36:G37">
    <cfRule type="cellIs" dxfId="52" priority="5" stopIfTrue="1" operator="lessThanOrEqual">
      <formula>3</formula>
    </cfRule>
  </conditionalFormatting>
  <conditionalFormatting sqref="G42:G43">
    <cfRule type="cellIs" dxfId="51" priority="4" stopIfTrue="1" operator="lessThanOrEqual">
      <formula>3</formula>
    </cfRule>
  </conditionalFormatting>
  <conditionalFormatting sqref="G45 G47">
    <cfRule type="cellIs" dxfId="50" priority="3" stopIfTrue="1" operator="lessThanOrEqual">
      <formula>3</formula>
    </cfRule>
  </conditionalFormatting>
  <conditionalFormatting sqref="G40:G41">
    <cfRule type="cellIs" dxfId="49" priority="2" stopIfTrue="1" operator="lessThanOrEqual">
      <formula>3</formula>
    </cfRule>
  </conditionalFormatting>
  <conditionalFormatting sqref="G46">
    <cfRule type="cellIs" dxfId="48" priority="1" stopIfTrue="1" operator="lessThanOrEqual">
      <formula>3</formula>
    </cfRule>
  </conditionalFormatting>
  <pageMargins left="0.49" right="0.24" top="0.28999999999999998" bottom="0.24" header="0.23" footer="0.2"/>
  <pageSetup paperSize="9" scale="8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AA5F3-F610-4700-AD30-E2A67DA60468}">
  <sheetPr codeName="Sheet17"/>
  <dimension ref="A1:T65"/>
  <sheetViews>
    <sheetView zoomScale="85" zoomScaleNormal="85" workbookViewId="0">
      <pane xSplit="1" ySplit="2" topLeftCell="B57" activePane="bottomRight" state="frozen"/>
      <selection activeCell="J34" sqref="J34:L34"/>
      <selection pane="topRight" activeCell="J34" sqref="J34:L34"/>
      <selection pane="bottomLeft" activeCell="J34" sqref="J34:L34"/>
      <selection pane="bottomRight" activeCell="E33" sqref="E33"/>
    </sheetView>
  </sheetViews>
  <sheetFormatPr defaultColWidth="8.58203125" defaultRowHeight="13"/>
  <cols>
    <col min="1" max="1" width="10" style="182" bestFit="1" customWidth="1"/>
    <col min="2" max="2" width="5.58203125" style="183" bestFit="1" customWidth="1"/>
    <col min="3" max="3" width="8.83203125" style="184" bestFit="1" customWidth="1"/>
    <col min="4" max="4" width="6.83203125" style="184" bestFit="1" customWidth="1"/>
    <col min="5" max="5" width="11.83203125" style="184" bestFit="1" customWidth="1"/>
    <col min="6" max="6" width="9.08203125" style="182" customWidth="1"/>
    <col min="7" max="7" width="5.08203125" style="186" bestFit="1" customWidth="1"/>
    <col min="8" max="8" width="15.08203125" style="184" customWidth="1"/>
    <col min="9" max="19" width="15" style="184" customWidth="1"/>
    <col min="20" max="20" width="15" style="184" hidden="1" customWidth="1"/>
    <col min="21" max="21" width="15.25" style="184" customWidth="1"/>
    <col min="22" max="22" width="11.75" style="184" customWidth="1"/>
    <col min="23" max="23" width="8.83203125" style="184" customWidth="1"/>
    <col min="24" max="16384" width="8.58203125" style="184"/>
  </cols>
  <sheetData>
    <row r="1" spans="1:20" ht="15" customHeight="1">
      <c r="A1" s="182" t="s">
        <v>57</v>
      </c>
      <c r="E1" s="185"/>
    </row>
    <row r="2" spans="1:20">
      <c r="A2" s="187" t="s">
        <v>58</v>
      </c>
      <c r="B2" s="188" t="s">
        <v>59</v>
      </c>
      <c r="C2" s="189" t="s">
        <v>60</v>
      </c>
      <c r="D2" s="189" t="s">
        <v>61</v>
      </c>
      <c r="E2" s="189" t="s">
        <v>62</v>
      </c>
      <c r="F2" s="190" t="s">
        <v>63</v>
      </c>
      <c r="G2" s="191" t="s">
        <v>64</v>
      </c>
      <c r="H2" s="192" t="s">
        <v>65</v>
      </c>
      <c r="I2" s="189" t="s">
        <v>66</v>
      </c>
      <c r="T2" s="189" t="s">
        <v>66</v>
      </c>
    </row>
    <row r="3" spans="1:20">
      <c r="A3" s="182">
        <v>45328</v>
      </c>
      <c r="B3" s="183">
        <v>0.40436342592592589</v>
      </c>
      <c r="C3" s="184" t="s">
        <v>67</v>
      </c>
      <c r="D3" s="184" t="s">
        <v>68</v>
      </c>
      <c r="E3" s="184" t="s">
        <v>89</v>
      </c>
      <c r="F3" s="182">
        <v>45485</v>
      </c>
      <c r="G3" s="186" t="s">
        <v>70</v>
      </c>
      <c r="H3" s="184" t="s">
        <v>71</v>
      </c>
      <c r="T3" s="184" t="s">
        <v>1062</v>
      </c>
    </row>
    <row r="4" spans="1:20">
      <c r="A4" s="182">
        <v>45328</v>
      </c>
      <c r="B4" s="183">
        <v>0.46046296296296302</v>
      </c>
      <c r="C4" s="184" t="s">
        <v>67</v>
      </c>
      <c r="D4" s="184" t="s">
        <v>68</v>
      </c>
      <c r="E4" s="184" t="s">
        <v>69</v>
      </c>
      <c r="F4" s="182">
        <v>45401</v>
      </c>
      <c r="G4" s="186" t="s">
        <v>70</v>
      </c>
      <c r="H4" s="184" t="s">
        <v>71</v>
      </c>
      <c r="T4" s="184" t="s">
        <v>257</v>
      </c>
    </row>
    <row r="5" spans="1:20">
      <c r="A5" s="182">
        <v>45329</v>
      </c>
      <c r="B5" s="183">
        <v>0.49917824074074074</v>
      </c>
      <c r="C5" s="184" t="s">
        <v>73</v>
      </c>
      <c r="D5" s="184" t="s">
        <v>68</v>
      </c>
      <c r="E5" s="184" t="s">
        <v>96</v>
      </c>
      <c r="F5" s="182">
        <v>45444</v>
      </c>
      <c r="G5" s="186" t="s">
        <v>70</v>
      </c>
      <c r="H5" s="184" t="s">
        <v>71</v>
      </c>
      <c r="T5" s="184" t="s">
        <v>1217</v>
      </c>
    </row>
    <row r="6" spans="1:20">
      <c r="A6" s="182">
        <v>45331</v>
      </c>
      <c r="B6" s="183">
        <v>0.41840277777777773</v>
      </c>
      <c r="C6" s="184" t="s">
        <v>73</v>
      </c>
      <c r="D6" s="184" t="s">
        <v>68</v>
      </c>
      <c r="E6" s="184" t="s">
        <v>96</v>
      </c>
      <c r="F6" s="182">
        <v>45444</v>
      </c>
      <c r="G6" s="186" t="s">
        <v>94</v>
      </c>
      <c r="H6" s="184" t="s">
        <v>76</v>
      </c>
      <c r="T6" s="184" t="s">
        <v>1218</v>
      </c>
    </row>
    <row r="7" spans="1:20">
      <c r="A7" s="182">
        <v>45331</v>
      </c>
      <c r="B7" s="183">
        <v>0.65230324074074075</v>
      </c>
      <c r="C7" s="184" t="s">
        <v>73</v>
      </c>
      <c r="D7" s="184" t="s">
        <v>78</v>
      </c>
      <c r="E7" s="184" t="s">
        <v>19</v>
      </c>
      <c r="F7" s="182">
        <v>45461</v>
      </c>
      <c r="G7" s="186" t="s">
        <v>70</v>
      </c>
      <c r="H7" s="184" t="s">
        <v>86</v>
      </c>
    </row>
    <row r="8" spans="1:20">
      <c r="A8" s="182">
        <v>45335</v>
      </c>
      <c r="B8" s="183">
        <v>0.42226851851851849</v>
      </c>
      <c r="C8" s="184" t="s">
        <v>73</v>
      </c>
      <c r="D8" s="184" t="s">
        <v>68</v>
      </c>
      <c r="E8" s="184" t="s">
        <v>96</v>
      </c>
      <c r="F8" s="182">
        <v>45444</v>
      </c>
      <c r="G8" s="186" t="s">
        <v>99</v>
      </c>
      <c r="H8" s="184" t="s">
        <v>71</v>
      </c>
      <c r="T8" s="184" t="s">
        <v>1217</v>
      </c>
    </row>
    <row r="9" spans="1:20">
      <c r="A9" s="182">
        <v>45336</v>
      </c>
      <c r="B9" s="183">
        <v>0.41829861111111111</v>
      </c>
      <c r="C9" s="184" t="s">
        <v>73</v>
      </c>
      <c r="D9" s="184" t="s">
        <v>78</v>
      </c>
      <c r="E9" s="184" t="s">
        <v>45</v>
      </c>
      <c r="F9" s="182">
        <v>45402</v>
      </c>
      <c r="G9" s="186" t="s">
        <v>75</v>
      </c>
      <c r="H9" s="184" t="s">
        <v>107</v>
      </c>
    </row>
    <row r="10" spans="1:20">
      <c r="A10" s="182">
        <v>45336</v>
      </c>
      <c r="B10" s="183">
        <v>0.41851851851851851</v>
      </c>
      <c r="C10" s="184" t="s">
        <v>73</v>
      </c>
      <c r="D10" s="184" t="s">
        <v>78</v>
      </c>
      <c r="E10" s="184" t="s">
        <v>19</v>
      </c>
      <c r="F10" s="182">
        <v>45461</v>
      </c>
      <c r="G10" s="186" t="s">
        <v>94</v>
      </c>
      <c r="H10" s="184" t="s">
        <v>107</v>
      </c>
    </row>
    <row r="11" spans="1:20">
      <c r="A11" s="182">
        <v>45336</v>
      </c>
      <c r="B11" s="183">
        <v>0.41864583333333333</v>
      </c>
      <c r="C11" s="184" t="s">
        <v>73</v>
      </c>
      <c r="D11" s="184" t="s">
        <v>78</v>
      </c>
      <c r="E11" s="184" t="s">
        <v>19</v>
      </c>
      <c r="F11" s="182">
        <v>45596</v>
      </c>
      <c r="G11" s="186" t="s">
        <v>70</v>
      </c>
      <c r="H11" s="184" t="s">
        <v>86</v>
      </c>
    </row>
    <row r="12" spans="1:20">
      <c r="A12" s="182">
        <v>45336</v>
      </c>
      <c r="B12" s="183">
        <v>0.41878472222222224</v>
      </c>
      <c r="C12" s="184" t="s">
        <v>73</v>
      </c>
      <c r="D12" s="184" t="s">
        <v>78</v>
      </c>
      <c r="E12" s="184" t="s">
        <v>19</v>
      </c>
      <c r="F12" s="182">
        <v>45708</v>
      </c>
      <c r="G12" s="186" t="s">
        <v>70</v>
      </c>
      <c r="H12" s="184" t="s">
        <v>86</v>
      </c>
    </row>
    <row r="13" spans="1:20">
      <c r="A13" s="182">
        <v>45342</v>
      </c>
      <c r="B13" s="183">
        <v>0.37929398148148147</v>
      </c>
      <c r="C13" s="184" t="s">
        <v>67</v>
      </c>
      <c r="D13" s="184" t="s">
        <v>91</v>
      </c>
      <c r="E13" s="184" t="s">
        <v>1227</v>
      </c>
      <c r="F13" s="182">
        <v>45492</v>
      </c>
      <c r="G13" s="186" t="s">
        <v>70</v>
      </c>
      <c r="H13" s="184" t="s">
        <v>93</v>
      </c>
    </row>
    <row r="14" spans="1:20">
      <c r="A14" s="182">
        <v>45348</v>
      </c>
      <c r="B14" s="183">
        <v>0.60723379629629626</v>
      </c>
      <c r="C14" s="184" t="s">
        <v>73</v>
      </c>
      <c r="D14" s="184" t="s">
        <v>68</v>
      </c>
      <c r="E14" s="184" t="s">
        <v>1220</v>
      </c>
      <c r="F14" s="182">
        <v>45481</v>
      </c>
      <c r="G14" s="186" t="s">
        <v>70</v>
      </c>
      <c r="H14" s="184" t="s">
        <v>71</v>
      </c>
      <c r="T14" s="184" t="s">
        <v>110</v>
      </c>
    </row>
    <row r="15" spans="1:20">
      <c r="A15" s="182">
        <v>45348</v>
      </c>
      <c r="B15" s="183">
        <v>0.61226851851851849</v>
      </c>
      <c r="C15" s="184" t="s">
        <v>73</v>
      </c>
      <c r="D15" s="184" t="s">
        <v>68</v>
      </c>
      <c r="E15" s="184" t="s">
        <v>1220</v>
      </c>
      <c r="F15" s="182">
        <v>45444</v>
      </c>
      <c r="G15" s="186" t="s">
        <v>99</v>
      </c>
      <c r="H15" s="184" t="s">
        <v>222</v>
      </c>
      <c r="T15" s="184" t="s">
        <v>1230</v>
      </c>
    </row>
    <row r="16" spans="1:20">
      <c r="A16" s="182">
        <v>45350</v>
      </c>
      <c r="B16" s="183">
        <v>0.42670138888888887</v>
      </c>
      <c r="C16" s="184" t="s">
        <v>73</v>
      </c>
      <c r="D16" s="184" t="s">
        <v>68</v>
      </c>
      <c r="E16" s="184" t="s">
        <v>19</v>
      </c>
      <c r="F16" s="182">
        <v>45461</v>
      </c>
      <c r="G16" s="186" t="s">
        <v>70</v>
      </c>
      <c r="H16" s="184" t="s">
        <v>71</v>
      </c>
      <c r="T16" s="184" t="s">
        <v>1231</v>
      </c>
    </row>
    <row r="17" spans="1:20">
      <c r="A17" s="182">
        <v>45350</v>
      </c>
      <c r="B17" s="183">
        <v>0.60155092592592596</v>
      </c>
      <c r="C17" s="184" t="s">
        <v>67</v>
      </c>
      <c r="D17" s="184" t="s">
        <v>68</v>
      </c>
      <c r="E17" s="184" t="s">
        <v>1220</v>
      </c>
      <c r="F17" s="182">
        <v>45444</v>
      </c>
      <c r="G17" s="186" t="s">
        <v>94</v>
      </c>
      <c r="H17" s="184" t="s">
        <v>71</v>
      </c>
      <c r="T17" s="184" t="s">
        <v>1235</v>
      </c>
    </row>
    <row r="18" spans="1:20">
      <c r="A18" s="182">
        <v>45352</v>
      </c>
      <c r="B18" s="183">
        <v>0.40539351851851851</v>
      </c>
      <c r="C18" s="184" t="s">
        <v>73</v>
      </c>
      <c r="D18" s="184" t="s">
        <v>159</v>
      </c>
      <c r="E18" s="184" t="s">
        <v>1220</v>
      </c>
      <c r="F18" s="182">
        <v>45481</v>
      </c>
      <c r="G18" s="186" t="s">
        <v>70</v>
      </c>
      <c r="H18" s="184" t="s">
        <v>216</v>
      </c>
      <c r="I18" s="184" t="s">
        <v>1048</v>
      </c>
    </row>
    <row r="19" spans="1:20">
      <c r="A19" s="182">
        <v>45352</v>
      </c>
      <c r="B19" s="183">
        <v>0.45628472222222222</v>
      </c>
      <c r="C19" s="184" t="s">
        <v>73</v>
      </c>
      <c r="D19" s="184" t="s">
        <v>159</v>
      </c>
      <c r="E19" s="184" t="s">
        <v>1220</v>
      </c>
      <c r="F19" s="182">
        <v>45481</v>
      </c>
      <c r="G19" s="186" t="s">
        <v>94</v>
      </c>
      <c r="H19" s="184" t="s">
        <v>215</v>
      </c>
      <c r="I19" s="184" t="s">
        <v>1003</v>
      </c>
    </row>
    <row r="20" spans="1:20">
      <c r="A20" s="182">
        <v>45352</v>
      </c>
      <c r="B20" s="183">
        <v>0.46818287037037037</v>
      </c>
      <c r="C20" s="184" t="s">
        <v>73</v>
      </c>
      <c r="D20" s="184" t="s">
        <v>68</v>
      </c>
      <c r="E20" s="184" t="s">
        <v>1220</v>
      </c>
      <c r="F20" s="182">
        <v>45481</v>
      </c>
      <c r="G20" s="186" t="s">
        <v>94</v>
      </c>
      <c r="H20" s="184" t="s">
        <v>76</v>
      </c>
      <c r="T20" s="184" t="s">
        <v>1238</v>
      </c>
    </row>
    <row r="21" spans="1:20">
      <c r="A21" s="182">
        <v>45352</v>
      </c>
      <c r="B21" s="183">
        <v>0.67905092592592586</v>
      </c>
      <c r="C21" s="184" t="s">
        <v>73</v>
      </c>
      <c r="D21" s="184" t="s">
        <v>78</v>
      </c>
      <c r="E21" s="184" t="s">
        <v>1239</v>
      </c>
      <c r="F21" s="182">
        <v>45401</v>
      </c>
      <c r="G21" s="186" t="s">
        <v>70</v>
      </c>
      <c r="H21" s="184" t="s">
        <v>86</v>
      </c>
    </row>
    <row r="22" spans="1:20">
      <c r="A22" s="182">
        <v>45352</v>
      </c>
      <c r="B22" s="183">
        <v>0.67962962962962958</v>
      </c>
      <c r="C22" s="184" t="s">
        <v>73</v>
      </c>
      <c r="D22" s="184" t="s">
        <v>91</v>
      </c>
      <c r="E22" s="184" t="s">
        <v>1220</v>
      </c>
      <c r="F22" s="182">
        <v>45444</v>
      </c>
      <c r="G22" s="186" t="s">
        <v>75</v>
      </c>
      <c r="H22" s="184" t="s">
        <v>92</v>
      </c>
    </row>
    <row r="23" spans="1:20">
      <c r="A23" s="182">
        <v>45355</v>
      </c>
      <c r="B23" s="183">
        <v>0.6805092592592592</v>
      </c>
      <c r="C23" s="184" t="s">
        <v>73</v>
      </c>
      <c r="D23" s="184" t="s">
        <v>78</v>
      </c>
      <c r="E23" s="184" t="s">
        <v>19</v>
      </c>
      <c r="F23" s="182">
        <v>45461</v>
      </c>
      <c r="G23" s="186" t="s">
        <v>94</v>
      </c>
      <c r="H23" s="184" t="s">
        <v>106</v>
      </c>
    </row>
    <row r="24" spans="1:20">
      <c r="A24" s="182">
        <v>45355</v>
      </c>
      <c r="B24" s="183">
        <v>0.68068287037037034</v>
      </c>
      <c r="C24" s="184" t="s">
        <v>73</v>
      </c>
      <c r="D24" s="184" t="s">
        <v>78</v>
      </c>
      <c r="E24" s="184" t="s">
        <v>1220</v>
      </c>
      <c r="F24" s="182">
        <v>45481</v>
      </c>
      <c r="G24" s="186" t="s">
        <v>70</v>
      </c>
      <c r="H24" s="184" t="s">
        <v>86</v>
      </c>
    </row>
    <row r="25" spans="1:20">
      <c r="A25" s="182">
        <v>45356</v>
      </c>
      <c r="B25" s="183">
        <v>0.6030092592592593</v>
      </c>
      <c r="C25" s="184" t="s">
        <v>67</v>
      </c>
      <c r="D25" s="184" t="s">
        <v>91</v>
      </c>
      <c r="E25" s="184" t="s">
        <v>1220</v>
      </c>
      <c r="F25" s="182">
        <v>45444</v>
      </c>
      <c r="G25" s="186" t="s">
        <v>114</v>
      </c>
      <c r="H25" s="184" t="s">
        <v>285</v>
      </c>
    </row>
    <row r="26" spans="1:20">
      <c r="A26" s="182">
        <v>45357</v>
      </c>
      <c r="B26" s="183">
        <v>0.41531249999999997</v>
      </c>
      <c r="C26" s="184" t="s">
        <v>67</v>
      </c>
      <c r="D26" s="184" t="s">
        <v>78</v>
      </c>
      <c r="E26" s="184" t="s">
        <v>45</v>
      </c>
      <c r="F26" s="182">
        <v>45556</v>
      </c>
      <c r="G26" s="186" t="s">
        <v>75</v>
      </c>
      <c r="H26" s="184" t="s">
        <v>107</v>
      </c>
    </row>
    <row r="27" spans="1:20">
      <c r="A27" s="182">
        <v>45357</v>
      </c>
      <c r="B27" s="183">
        <v>0.41553240740740743</v>
      </c>
      <c r="C27" s="184" t="s">
        <v>67</v>
      </c>
      <c r="D27" s="184" t="s">
        <v>78</v>
      </c>
      <c r="E27" s="184" t="s">
        <v>19</v>
      </c>
      <c r="F27" s="182">
        <v>45596</v>
      </c>
      <c r="G27" s="186" t="s">
        <v>114</v>
      </c>
      <c r="H27" s="184" t="s">
        <v>106</v>
      </c>
    </row>
    <row r="28" spans="1:20">
      <c r="A28" s="182">
        <v>45357</v>
      </c>
      <c r="B28" s="183">
        <v>0.54067129629629629</v>
      </c>
      <c r="C28" s="184" t="s">
        <v>67</v>
      </c>
      <c r="D28" s="184" t="s">
        <v>78</v>
      </c>
      <c r="E28" s="184" t="s">
        <v>19</v>
      </c>
      <c r="F28" s="182">
        <v>45461</v>
      </c>
      <c r="G28" s="186" t="s">
        <v>114</v>
      </c>
      <c r="H28" s="184" t="s">
        <v>265</v>
      </c>
    </row>
    <row r="29" spans="1:20">
      <c r="A29" s="182">
        <v>45357</v>
      </c>
      <c r="B29" s="183">
        <v>0.63797453703703699</v>
      </c>
      <c r="C29" s="184" t="s">
        <v>73</v>
      </c>
      <c r="D29" s="184" t="s">
        <v>68</v>
      </c>
      <c r="E29" s="184" t="s">
        <v>45</v>
      </c>
      <c r="F29" s="182">
        <v>45471</v>
      </c>
      <c r="G29" s="186" t="s">
        <v>70</v>
      </c>
      <c r="H29" s="184" t="s">
        <v>71</v>
      </c>
      <c r="T29" s="184" t="s">
        <v>230</v>
      </c>
    </row>
    <row r="30" spans="1:20">
      <c r="A30" s="182">
        <v>45357</v>
      </c>
      <c r="B30" s="183">
        <v>0.66288194444444448</v>
      </c>
      <c r="C30" s="184" t="s">
        <v>67</v>
      </c>
      <c r="D30" s="184" t="s">
        <v>78</v>
      </c>
      <c r="E30" s="184" t="s">
        <v>45</v>
      </c>
      <c r="F30" s="182">
        <v>45402</v>
      </c>
      <c r="G30" s="186" t="s">
        <v>94</v>
      </c>
      <c r="H30" s="184" t="s">
        <v>106</v>
      </c>
    </row>
    <row r="31" spans="1:20">
      <c r="A31" s="182">
        <v>45358</v>
      </c>
      <c r="B31" s="183">
        <v>0.58114583333333336</v>
      </c>
      <c r="C31" s="184" t="s">
        <v>67</v>
      </c>
      <c r="D31" s="184" t="s">
        <v>68</v>
      </c>
      <c r="E31" s="184" t="s">
        <v>1220</v>
      </c>
      <c r="F31" s="182">
        <v>45481</v>
      </c>
      <c r="G31" s="186" t="s">
        <v>70</v>
      </c>
      <c r="H31" s="184" t="s">
        <v>87</v>
      </c>
      <c r="T31" s="184" t="s">
        <v>1245</v>
      </c>
    </row>
    <row r="32" spans="1:20">
      <c r="A32" s="182">
        <v>45358</v>
      </c>
      <c r="B32" s="183">
        <v>0.6661111111111111</v>
      </c>
      <c r="C32" s="184" t="s">
        <v>67</v>
      </c>
      <c r="D32" s="184" t="s">
        <v>68</v>
      </c>
      <c r="E32" s="184" t="s">
        <v>19</v>
      </c>
      <c r="F32" s="182">
        <v>45461</v>
      </c>
      <c r="G32" s="186" t="s">
        <v>70</v>
      </c>
      <c r="H32" s="184" t="s">
        <v>76</v>
      </c>
      <c r="T32" s="184" t="s">
        <v>1246</v>
      </c>
    </row>
    <row r="33" spans="1:20">
      <c r="A33" s="182">
        <v>45362</v>
      </c>
      <c r="B33" s="183">
        <v>0.61655092592592597</v>
      </c>
      <c r="C33" s="184" t="s">
        <v>67</v>
      </c>
      <c r="D33" s="184" t="s">
        <v>78</v>
      </c>
      <c r="E33" s="184" t="s">
        <v>45</v>
      </c>
      <c r="F33" s="182">
        <v>45402</v>
      </c>
      <c r="G33" s="186" t="s">
        <v>114</v>
      </c>
      <c r="H33" s="184" t="s">
        <v>265</v>
      </c>
    </row>
    <row r="34" spans="1:20">
      <c r="A34" s="182">
        <v>45363</v>
      </c>
      <c r="B34" s="183">
        <v>0.44322916666666667</v>
      </c>
      <c r="C34" s="184" t="s">
        <v>67</v>
      </c>
      <c r="D34" s="184" t="s">
        <v>68</v>
      </c>
      <c r="E34" s="184" t="s">
        <v>1220</v>
      </c>
      <c r="F34" s="182">
        <v>45481</v>
      </c>
      <c r="G34" s="186" t="s">
        <v>94</v>
      </c>
      <c r="H34" s="184" t="s">
        <v>101</v>
      </c>
      <c r="T34" s="184" t="s">
        <v>1247</v>
      </c>
    </row>
    <row r="35" spans="1:20">
      <c r="A35" s="182">
        <v>45363</v>
      </c>
      <c r="B35" s="183">
        <v>0.66931712962962964</v>
      </c>
      <c r="C35" s="184" t="s">
        <v>73</v>
      </c>
      <c r="D35" s="184" t="s">
        <v>78</v>
      </c>
      <c r="E35" s="184" t="s">
        <v>1239</v>
      </c>
      <c r="F35" s="182">
        <v>45401</v>
      </c>
      <c r="G35" s="186" t="s">
        <v>94</v>
      </c>
      <c r="H35" s="184" t="s">
        <v>107</v>
      </c>
    </row>
    <row r="36" spans="1:20">
      <c r="A36" s="182">
        <v>45364</v>
      </c>
      <c r="B36" s="183">
        <v>0.39265046296296297</v>
      </c>
      <c r="C36" s="184" t="s">
        <v>67</v>
      </c>
      <c r="D36" s="184" t="s">
        <v>78</v>
      </c>
      <c r="E36" s="184" t="s">
        <v>1227</v>
      </c>
      <c r="F36" s="182">
        <v>45492</v>
      </c>
      <c r="G36" s="186" t="s">
        <v>70</v>
      </c>
      <c r="H36" s="184" t="s">
        <v>86</v>
      </c>
    </row>
    <row r="37" spans="1:20">
      <c r="A37" s="182">
        <v>45365</v>
      </c>
      <c r="B37" s="183">
        <v>0.61406249999999996</v>
      </c>
      <c r="C37" s="184" t="s">
        <v>67</v>
      </c>
      <c r="D37" s="184" t="s">
        <v>91</v>
      </c>
      <c r="E37" s="184" t="s">
        <v>1220</v>
      </c>
      <c r="F37" s="182">
        <v>45444</v>
      </c>
      <c r="G37" s="186" t="s">
        <v>114</v>
      </c>
      <c r="H37" s="184" t="s">
        <v>229</v>
      </c>
    </row>
    <row r="38" spans="1:20">
      <c r="A38" s="182">
        <v>45365</v>
      </c>
      <c r="B38" s="183">
        <v>0.64677083333333329</v>
      </c>
      <c r="C38" s="184" t="s">
        <v>67</v>
      </c>
      <c r="D38" s="184" t="s">
        <v>68</v>
      </c>
      <c r="E38" s="184" t="s">
        <v>1220</v>
      </c>
      <c r="F38" s="182">
        <v>45444</v>
      </c>
      <c r="G38" s="186" t="s">
        <v>114</v>
      </c>
      <c r="H38" s="184" t="s">
        <v>87</v>
      </c>
      <c r="T38" s="184" t="s">
        <v>230</v>
      </c>
    </row>
    <row r="39" spans="1:20">
      <c r="A39" s="182">
        <v>45369</v>
      </c>
      <c r="B39" s="183">
        <v>0.57156249999999997</v>
      </c>
      <c r="C39" s="184" t="s">
        <v>67</v>
      </c>
      <c r="D39" s="184" t="s">
        <v>68</v>
      </c>
      <c r="E39" s="184" t="s">
        <v>1220</v>
      </c>
      <c r="F39" s="182">
        <v>45444</v>
      </c>
      <c r="G39" s="186" t="s">
        <v>94</v>
      </c>
      <c r="H39" s="184" t="s">
        <v>101</v>
      </c>
      <c r="T39" s="184" t="s">
        <v>1251</v>
      </c>
    </row>
    <row r="40" spans="1:20">
      <c r="A40" s="182">
        <v>45372</v>
      </c>
      <c r="B40" s="183">
        <v>0.40813657407407405</v>
      </c>
      <c r="C40" s="184" t="s">
        <v>67</v>
      </c>
      <c r="D40" s="184" t="s">
        <v>78</v>
      </c>
      <c r="E40" s="184" t="s">
        <v>19</v>
      </c>
      <c r="F40" s="182">
        <v>45461</v>
      </c>
      <c r="G40" s="186" t="s">
        <v>94</v>
      </c>
      <c r="H40" s="184" t="s">
        <v>288</v>
      </c>
    </row>
    <row r="41" spans="1:20">
      <c r="A41" s="182">
        <v>45372</v>
      </c>
      <c r="B41" s="183">
        <v>0.67714120370370368</v>
      </c>
      <c r="C41" s="184" t="s">
        <v>67</v>
      </c>
      <c r="D41" s="184" t="s">
        <v>91</v>
      </c>
      <c r="E41" s="184" t="s">
        <v>1220</v>
      </c>
      <c r="F41" s="182">
        <v>45481</v>
      </c>
      <c r="G41" s="186" t="s">
        <v>70</v>
      </c>
      <c r="H41" s="184" t="s">
        <v>93</v>
      </c>
    </row>
    <row r="42" spans="1:20">
      <c r="A42" s="182">
        <v>45373</v>
      </c>
      <c r="B42" s="183">
        <v>0.63758101851851856</v>
      </c>
      <c r="C42" s="184" t="s">
        <v>73</v>
      </c>
      <c r="D42" s="184" t="s">
        <v>91</v>
      </c>
      <c r="E42" s="184" t="s">
        <v>1220</v>
      </c>
      <c r="F42" s="182">
        <v>45444</v>
      </c>
      <c r="G42" s="186" t="s">
        <v>804</v>
      </c>
      <c r="H42" s="184" t="s">
        <v>189</v>
      </c>
    </row>
    <row r="43" spans="1:20">
      <c r="A43" s="182">
        <v>45373</v>
      </c>
      <c r="B43" s="183">
        <v>0.63799768518518518</v>
      </c>
      <c r="C43" s="184" t="s">
        <v>73</v>
      </c>
      <c r="D43" s="184" t="s">
        <v>91</v>
      </c>
      <c r="E43" s="184" t="s">
        <v>1185</v>
      </c>
      <c r="G43" s="186" t="s">
        <v>553</v>
      </c>
      <c r="H43" s="184" t="s">
        <v>285</v>
      </c>
    </row>
    <row r="44" spans="1:20">
      <c r="A44" s="182">
        <v>45373</v>
      </c>
      <c r="B44" s="183">
        <v>0.63837962962962957</v>
      </c>
      <c r="C44" s="184" t="s">
        <v>73</v>
      </c>
      <c r="D44" s="184" t="s">
        <v>91</v>
      </c>
      <c r="E44" s="184" t="s">
        <v>1227</v>
      </c>
      <c r="F44" s="182">
        <v>45492</v>
      </c>
      <c r="G44" s="186" t="s">
        <v>94</v>
      </c>
      <c r="H44" s="184" t="s">
        <v>92</v>
      </c>
    </row>
    <row r="45" spans="1:20">
      <c r="A45" s="182">
        <v>45373</v>
      </c>
      <c r="B45" s="183">
        <v>0.63864583333333336</v>
      </c>
      <c r="C45" s="184" t="s">
        <v>73</v>
      </c>
      <c r="D45" s="184" t="s">
        <v>91</v>
      </c>
      <c r="E45" s="184" t="s">
        <v>1252</v>
      </c>
      <c r="F45" s="182">
        <v>45463</v>
      </c>
      <c r="G45" s="186" t="s">
        <v>70</v>
      </c>
      <c r="H45" s="184" t="s">
        <v>93</v>
      </c>
    </row>
    <row r="46" spans="1:20">
      <c r="A46" s="182">
        <v>45376</v>
      </c>
      <c r="B46" s="183">
        <v>0.57023148148148151</v>
      </c>
      <c r="C46" s="184" t="s">
        <v>67</v>
      </c>
      <c r="D46" s="184" t="s">
        <v>78</v>
      </c>
      <c r="E46" s="184" t="s">
        <v>19</v>
      </c>
      <c r="F46" s="182">
        <v>45461</v>
      </c>
      <c r="G46" s="186" t="s">
        <v>112</v>
      </c>
      <c r="H46" s="184" t="s">
        <v>82</v>
      </c>
    </row>
    <row r="47" spans="1:20">
      <c r="A47" s="182">
        <v>45376</v>
      </c>
      <c r="B47" s="183">
        <v>0.57050925925925922</v>
      </c>
      <c r="C47" s="184" t="s">
        <v>67</v>
      </c>
      <c r="D47" s="184" t="s">
        <v>78</v>
      </c>
      <c r="E47" s="184" t="s">
        <v>45</v>
      </c>
      <c r="F47" s="182">
        <v>45471</v>
      </c>
      <c r="G47" s="186" t="s">
        <v>1253</v>
      </c>
      <c r="H47" s="184" t="s">
        <v>106</v>
      </c>
    </row>
    <row r="48" spans="1:20">
      <c r="A48" s="182">
        <v>45376</v>
      </c>
      <c r="B48" s="183">
        <v>0.570775462962963</v>
      </c>
      <c r="C48" s="184" t="s">
        <v>67</v>
      </c>
      <c r="D48" s="184" t="s">
        <v>78</v>
      </c>
      <c r="E48" s="184" t="s">
        <v>1220</v>
      </c>
      <c r="F48" s="182">
        <v>45481</v>
      </c>
      <c r="G48" s="186" t="s">
        <v>83</v>
      </c>
      <c r="H48" s="184" t="s">
        <v>265</v>
      </c>
    </row>
    <row r="49" spans="1:20">
      <c r="A49" s="182">
        <v>45376</v>
      </c>
      <c r="B49" s="183">
        <v>0.68106481481481485</v>
      </c>
      <c r="C49" s="184" t="s">
        <v>67</v>
      </c>
      <c r="D49" s="184" t="s">
        <v>68</v>
      </c>
      <c r="E49" s="184" t="s">
        <v>1239</v>
      </c>
      <c r="F49" s="182">
        <v>45401</v>
      </c>
      <c r="G49" s="186" t="s">
        <v>94</v>
      </c>
      <c r="H49" s="184" t="s">
        <v>76</v>
      </c>
      <c r="T49" s="184" t="s">
        <v>567</v>
      </c>
    </row>
    <row r="50" spans="1:20">
      <c r="A50" s="182">
        <v>45377</v>
      </c>
      <c r="B50" s="183">
        <v>0.40167824074074077</v>
      </c>
      <c r="C50" s="184" t="s">
        <v>73</v>
      </c>
      <c r="D50" s="184" t="s">
        <v>68</v>
      </c>
      <c r="E50" s="184" t="s">
        <v>1185</v>
      </c>
      <c r="F50" s="182">
        <v>45399</v>
      </c>
      <c r="G50" s="186" t="s">
        <v>105</v>
      </c>
      <c r="H50" s="184" t="s">
        <v>87</v>
      </c>
      <c r="T50" s="184" t="s">
        <v>1139</v>
      </c>
    </row>
    <row r="51" spans="1:20">
      <c r="A51" s="182">
        <v>45378</v>
      </c>
      <c r="B51" s="183">
        <v>0.37833333333333335</v>
      </c>
      <c r="C51" s="184" t="s">
        <v>67</v>
      </c>
      <c r="D51" s="184" t="s">
        <v>68</v>
      </c>
      <c r="E51" s="184" t="s">
        <v>1185</v>
      </c>
      <c r="F51" s="182">
        <v>45399</v>
      </c>
      <c r="G51" s="186" t="s">
        <v>94</v>
      </c>
      <c r="H51" s="184" t="s">
        <v>101</v>
      </c>
      <c r="T51" s="184" t="s">
        <v>1254</v>
      </c>
    </row>
    <row r="52" spans="1:20">
      <c r="A52" s="182">
        <v>45378</v>
      </c>
      <c r="B52" s="183">
        <v>0.38010416666666669</v>
      </c>
      <c r="C52" s="184" t="s">
        <v>67</v>
      </c>
      <c r="D52" s="184" t="s">
        <v>91</v>
      </c>
      <c r="E52" s="184" t="s">
        <v>1220</v>
      </c>
      <c r="F52" s="182">
        <v>45444</v>
      </c>
      <c r="G52" s="186" t="s">
        <v>524</v>
      </c>
      <c r="H52" s="184" t="s">
        <v>335</v>
      </c>
    </row>
    <row r="53" spans="1:20">
      <c r="A53" s="182">
        <v>45378</v>
      </c>
      <c r="B53" s="183">
        <v>0.46751157407407407</v>
      </c>
      <c r="C53" s="184" t="s">
        <v>67</v>
      </c>
      <c r="D53" s="184" t="s">
        <v>68</v>
      </c>
      <c r="E53" s="184" t="s">
        <v>1185</v>
      </c>
      <c r="F53" s="182">
        <v>45399</v>
      </c>
      <c r="G53" s="186" t="s">
        <v>94</v>
      </c>
      <c r="H53" s="184" t="s">
        <v>103</v>
      </c>
      <c r="T53" s="184" t="s">
        <v>1255</v>
      </c>
    </row>
    <row r="54" spans="1:20">
      <c r="A54" s="182">
        <v>45378</v>
      </c>
      <c r="B54" s="183">
        <v>0.53957175925925926</v>
      </c>
      <c r="C54" s="184" t="s">
        <v>67</v>
      </c>
      <c r="D54" s="184" t="s">
        <v>91</v>
      </c>
      <c r="E54" s="184" t="s">
        <v>1185</v>
      </c>
      <c r="F54" s="182">
        <v>45399</v>
      </c>
      <c r="G54" s="186" t="s">
        <v>264</v>
      </c>
      <c r="H54" s="184" t="s">
        <v>337</v>
      </c>
    </row>
    <row r="55" spans="1:20">
      <c r="A55" s="182">
        <v>45378</v>
      </c>
      <c r="B55" s="183">
        <v>0.54002314814814811</v>
      </c>
      <c r="C55" s="184" t="s">
        <v>67</v>
      </c>
      <c r="D55" s="184" t="s">
        <v>91</v>
      </c>
      <c r="E55" s="184" t="s">
        <v>19</v>
      </c>
      <c r="F55" s="182">
        <v>45461</v>
      </c>
      <c r="G55" s="186" t="s">
        <v>70</v>
      </c>
      <c r="H55" s="184" t="s">
        <v>93</v>
      </c>
    </row>
    <row r="56" spans="1:20">
      <c r="A56" s="182">
        <v>45378</v>
      </c>
      <c r="B56" s="183">
        <v>0.54023148148148148</v>
      </c>
      <c r="C56" s="184" t="s">
        <v>67</v>
      </c>
      <c r="D56" s="184" t="s">
        <v>91</v>
      </c>
      <c r="E56" s="184" t="s">
        <v>45</v>
      </c>
      <c r="F56" s="182">
        <v>45471</v>
      </c>
      <c r="G56" s="186" t="s">
        <v>70</v>
      </c>
      <c r="H56" s="184" t="s">
        <v>93</v>
      </c>
    </row>
    <row r="57" spans="1:20">
      <c r="A57" s="182">
        <v>45378</v>
      </c>
      <c r="B57" s="183">
        <v>0.54065972222222225</v>
      </c>
      <c r="C57" s="184" t="s">
        <v>67</v>
      </c>
      <c r="D57" s="184" t="s">
        <v>91</v>
      </c>
      <c r="E57" s="184" t="s">
        <v>1220</v>
      </c>
      <c r="F57" s="182">
        <v>45481</v>
      </c>
      <c r="G57" s="186" t="s">
        <v>94</v>
      </c>
      <c r="H57" s="184" t="s">
        <v>92</v>
      </c>
    </row>
    <row r="58" spans="1:20">
      <c r="A58" s="182">
        <v>45378</v>
      </c>
      <c r="B58" s="183">
        <v>0.64212962962962961</v>
      </c>
      <c r="C58" s="184" t="s">
        <v>73</v>
      </c>
      <c r="D58" s="184" t="s">
        <v>68</v>
      </c>
      <c r="E58" s="184" t="s">
        <v>45</v>
      </c>
      <c r="F58" s="182">
        <v>45402</v>
      </c>
      <c r="G58" s="186" t="s">
        <v>70</v>
      </c>
      <c r="H58" s="184" t="s">
        <v>71</v>
      </c>
      <c r="T58" s="184" t="s">
        <v>532</v>
      </c>
    </row>
    <row r="59" spans="1:20">
      <c r="A59" s="182">
        <v>45378</v>
      </c>
      <c r="B59" s="183">
        <v>0.64458333333333329</v>
      </c>
      <c r="C59" s="184" t="s">
        <v>73</v>
      </c>
      <c r="D59" s="184" t="s">
        <v>68</v>
      </c>
      <c r="E59" s="184" t="s">
        <v>45</v>
      </c>
      <c r="F59" s="182">
        <v>45402</v>
      </c>
      <c r="G59" s="186" t="s">
        <v>94</v>
      </c>
      <c r="H59" s="184" t="s">
        <v>76</v>
      </c>
      <c r="T59" s="184" t="s">
        <v>1202</v>
      </c>
    </row>
    <row r="60" spans="1:20">
      <c r="A60" s="182">
        <v>45378</v>
      </c>
      <c r="B60" s="183">
        <v>0.70204861111111116</v>
      </c>
      <c r="C60" s="184" t="s">
        <v>67</v>
      </c>
      <c r="D60" s="184" t="s">
        <v>78</v>
      </c>
      <c r="E60" s="184" t="s">
        <v>1220</v>
      </c>
      <c r="F60" s="182">
        <v>45481</v>
      </c>
      <c r="G60" s="186" t="s">
        <v>94</v>
      </c>
      <c r="H60" s="184" t="s">
        <v>288</v>
      </c>
    </row>
    <row r="61" spans="1:20">
      <c r="A61" s="182">
        <v>45379</v>
      </c>
      <c r="B61" s="183">
        <v>0.41903935185185187</v>
      </c>
      <c r="C61" s="184" t="s">
        <v>67</v>
      </c>
      <c r="D61" s="184" t="s">
        <v>68</v>
      </c>
      <c r="E61" s="184" t="s">
        <v>1220</v>
      </c>
      <c r="F61" s="182">
        <v>45481</v>
      </c>
      <c r="G61" s="186" t="s">
        <v>114</v>
      </c>
      <c r="H61" s="184" t="s">
        <v>182</v>
      </c>
      <c r="T61" s="184" t="s">
        <v>434</v>
      </c>
    </row>
    <row r="62" spans="1:20">
      <c r="A62" s="182">
        <v>45379</v>
      </c>
      <c r="B62" s="183">
        <v>0.46122685185185186</v>
      </c>
      <c r="C62" s="184" t="s">
        <v>67</v>
      </c>
      <c r="D62" s="184" t="s">
        <v>68</v>
      </c>
      <c r="E62" s="184" t="s">
        <v>1227</v>
      </c>
      <c r="F62" s="182">
        <v>45492</v>
      </c>
      <c r="G62" s="186" t="s">
        <v>70</v>
      </c>
      <c r="H62" s="184" t="s">
        <v>71</v>
      </c>
      <c r="T62" s="184" t="s">
        <v>284</v>
      </c>
    </row>
    <row r="63" spans="1:20">
      <c r="A63" s="182">
        <v>45379</v>
      </c>
      <c r="B63" s="183">
        <v>0.46940972222222221</v>
      </c>
      <c r="C63" s="184" t="s">
        <v>67</v>
      </c>
      <c r="D63" s="184" t="s">
        <v>68</v>
      </c>
      <c r="E63" s="184" t="s">
        <v>45</v>
      </c>
      <c r="F63" s="182">
        <v>45604</v>
      </c>
      <c r="G63" s="186" t="s">
        <v>70</v>
      </c>
      <c r="H63" s="184" t="s">
        <v>71</v>
      </c>
      <c r="T63" s="184" t="s">
        <v>284</v>
      </c>
    </row>
    <row r="64" spans="1:20">
      <c r="A64" s="182">
        <v>45380</v>
      </c>
      <c r="B64" s="183">
        <v>0.6071064814814815</v>
      </c>
      <c r="C64" s="184" t="s">
        <v>73</v>
      </c>
      <c r="D64" s="184" t="s">
        <v>68</v>
      </c>
      <c r="E64" s="184" t="s">
        <v>1220</v>
      </c>
      <c r="F64" s="182">
        <v>45481</v>
      </c>
      <c r="G64" s="186" t="s">
        <v>94</v>
      </c>
      <c r="H64" s="184" t="s">
        <v>117</v>
      </c>
      <c r="T64" s="184" t="s">
        <v>1256</v>
      </c>
    </row>
    <row r="65" spans="1:8">
      <c r="A65" s="182">
        <v>45380</v>
      </c>
      <c r="B65" s="183">
        <v>0.70649305555555553</v>
      </c>
      <c r="C65" s="184" t="s">
        <v>67</v>
      </c>
      <c r="D65" s="184" t="s">
        <v>78</v>
      </c>
      <c r="E65" s="184" t="s">
        <v>1227</v>
      </c>
      <c r="F65" s="182">
        <v>45492</v>
      </c>
      <c r="G65" s="186" t="s">
        <v>94</v>
      </c>
      <c r="H65" s="184" t="s">
        <v>107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D5FEC-F9F1-4753-B8A2-09CE90E265AC}">
  <sheetPr codeName="Sheet9"/>
  <dimension ref="A6:B8"/>
  <sheetViews>
    <sheetView workbookViewId="0">
      <selection activeCell="C14" sqref="C14"/>
    </sheetView>
  </sheetViews>
  <sheetFormatPr defaultColWidth="8.58203125" defaultRowHeight="13"/>
  <cols>
    <col min="1" max="16384" width="8.58203125" style="184"/>
  </cols>
  <sheetData>
    <row r="6" spans="1:2">
      <c r="A6" s="184" t="s">
        <v>125</v>
      </c>
    </row>
    <row r="7" spans="1:2">
      <c r="A7" s="184">
        <v>1</v>
      </c>
      <c r="B7" s="184" t="s">
        <v>126</v>
      </c>
    </row>
    <row r="8" spans="1:2">
      <c r="B8" s="184" t="s">
        <v>127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DB737-5A19-49C5-9C0B-906B446D2077}">
  <sheetPr codeName="Sheet8"/>
  <dimension ref="A1:U860"/>
  <sheetViews>
    <sheetView workbookViewId="0">
      <pane xSplit="1" ySplit="2" topLeftCell="C848" activePane="bottomRight" state="frozen"/>
      <selection activeCell="J37" sqref="J37:L37"/>
      <selection pane="topRight" activeCell="J37" sqref="J37:L37"/>
      <selection pane="bottomLeft" activeCell="J37" sqref="J37:L37"/>
      <selection pane="bottomRight" activeCell="J37" sqref="J37:L37"/>
    </sheetView>
  </sheetViews>
  <sheetFormatPr defaultColWidth="8.58203125" defaultRowHeight="13"/>
  <cols>
    <col min="1" max="1" width="10.58203125" style="182" bestFit="1" customWidth="1"/>
    <col min="2" max="2" width="8.58203125" style="183" bestFit="1" customWidth="1"/>
    <col min="3" max="5" width="8.58203125" style="184"/>
    <col min="6" max="6" width="8.5" style="182" bestFit="1" customWidth="1"/>
    <col min="7" max="7" width="4.83203125" style="186" bestFit="1" customWidth="1"/>
    <col min="8" max="8" width="10.08203125" style="184" bestFit="1" customWidth="1"/>
    <col min="9" max="18" width="11.25" style="184" customWidth="1"/>
    <col min="19" max="19" width="11.25" style="184" hidden="1" customWidth="1"/>
    <col min="20" max="20" width="25.75" style="184" hidden="1" customWidth="1"/>
    <col min="21" max="21" width="11.33203125" style="184" hidden="1" customWidth="1"/>
    <col min="22" max="22" width="8.58203125" style="184" customWidth="1"/>
    <col min="23" max="23" width="8.83203125" style="184" customWidth="1"/>
    <col min="24" max="16384" width="8.58203125" style="184"/>
  </cols>
  <sheetData>
    <row r="1" spans="1:20" ht="15" customHeight="1">
      <c r="A1" s="182" t="s">
        <v>57</v>
      </c>
      <c r="E1" s="185"/>
    </row>
    <row r="2" spans="1:20">
      <c r="A2" s="187" t="s">
        <v>58</v>
      </c>
      <c r="B2" s="188" t="s">
        <v>59</v>
      </c>
      <c r="C2" s="189" t="s">
        <v>60</v>
      </c>
      <c r="D2" s="189" t="s">
        <v>61</v>
      </c>
      <c r="E2" s="189" t="s">
        <v>62</v>
      </c>
      <c r="F2" s="190" t="s">
        <v>63</v>
      </c>
      <c r="G2" s="191" t="s">
        <v>64</v>
      </c>
      <c r="H2" s="192" t="s">
        <v>65</v>
      </c>
      <c r="I2" s="189" t="s">
        <v>66</v>
      </c>
      <c r="T2" s="189" t="s">
        <v>66</v>
      </c>
    </row>
    <row r="3" spans="1:20">
      <c r="A3" s="182">
        <v>43847</v>
      </c>
      <c r="B3" s="183">
        <v>0.49189814814814814</v>
      </c>
      <c r="C3" s="184" t="s">
        <v>73</v>
      </c>
      <c r="D3" s="184" t="s">
        <v>68</v>
      </c>
      <c r="E3" s="184" t="s">
        <v>96</v>
      </c>
      <c r="F3" s="182">
        <v>43932</v>
      </c>
      <c r="G3" s="186" t="s">
        <v>75</v>
      </c>
      <c r="T3" s="184" t="s">
        <v>118</v>
      </c>
    </row>
    <row r="4" spans="1:20">
      <c r="A4" s="182">
        <v>43847</v>
      </c>
      <c r="B4" s="183">
        <v>0.56094907407407402</v>
      </c>
      <c r="C4" s="184" t="s">
        <v>67</v>
      </c>
      <c r="D4" s="184" t="s">
        <v>68</v>
      </c>
      <c r="E4" s="184" t="s">
        <v>96</v>
      </c>
      <c r="F4" s="182">
        <v>43932</v>
      </c>
      <c r="G4" s="186" t="s">
        <v>146</v>
      </c>
      <c r="T4" s="184" t="s">
        <v>147</v>
      </c>
    </row>
    <row r="5" spans="1:20">
      <c r="A5" s="182">
        <v>43859</v>
      </c>
      <c r="B5" s="183">
        <v>0.41221064814814817</v>
      </c>
      <c r="C5" s="184" t="s">
        <v>73</v>
      </c>
      <c r="D5" s="184" t="s">
        <v>68</v>
      </c>
      <c r="E5" s="184" t="s">
        <v>96</v>
      </c>
      <c r="F5" s="182">
        <v>43932</v>
      </c>
      <c r="G5" s="186" t="s">
        <v>94</v>
      </c>
      <c r="T5" s="184" t="s">
        <v>148</v>
      </c>
    </row>
    <row r="6" spans="1:20">
      <c r="A6" s="182">
        <v>43864</v>
      </c>
      <c r="B6" s="183">
        <v>0.4798263888888889</v>
      </c>
      <c r="C6" s="184" t="s">
        <v>73</v>
      </c>
      <c r="D6" s="184" t="s">
        <v>68</v>
      </c>
      <c r="E6" s="184" t="s">
        <v>95</v>
      </c>
      <c r="F6" s="182">
        <v>43959</v>
      </c>
      <c r="G6" s="186" t="s">
        <v>70</v>
      </c>
      <c r="T6" s="184" t="s">
        <v>149</v>
      </c>
    </row>
    <row r="7" spans="1:20">
      <c r="A7" s="182">
        <v>43866</v>
      </c>
      <c r="B7" s="183">
        <v>0.43115740740740738</v>
      </c>
      <c r="C7" s="184" t="s">
        <v>73</v>
      </c>
      <c r="D7" s="184" t="s">
        <v>68</v>
      </c>
      <c r="E7" s="184" t="s">
        <v>89</v>
      </c>
      <c r="F7" s="182">
        <v>43973</v>
      </c>
      <c r="G7" s="186" t="s">
        <v>70</v>
      </c>
      <c r="T7" s="184" t="s">
        <v>150</v>
      </c>
    </row>
    <row r="8" spans="1:20">
      <c r="A8" s="182">
        <v>43866</v>
      </c>
      <c r="B8" s="183">
        <v>0.43291666666666667</v>
      </c>
      <c r="C8" s="184" t="s">
        <v>73</v>
      </c>
      <c r="D8" s="184" t="s">
        <v>68</v>
      </c>
      <c r="E8" s="184" t="s">
        <v>89</v>
      </c>
      <c r="F8" s="182">
        <v>43973</v>
      </c>
      <c r="G8" s="186" t="s">
        <v>94</v>
      </c>
      <c r="T8" s="184" t="s">
        <v>151</v>
      </c>
    </row>
    <row r="9" spans="1:20">
      <c r="A9" s="182">
        <v>43866</v>
      </c>
      <c r="B9" s="183">
        <v>0.43381944444444448</v>
      </c>
      <c r="C9" s="184" t="s">
        <v>73</v>
      </c>
      <c r="D9" s="184" t="s">
        <v>68</v>
      </c>
      <c r="E9" s="184" t="s">
        <v>89</v>
      </c>
      <c r="F9" s="182">
        <v>44120</v>
      </c>
      <c r="G9" s="186" t="s">
        <v>70</v>
      </c>
      <c r="T9" s="184" t="s">
        <v>150</v>
      </c>
    </row>
    <row r="10" spans="1:20">
      <c r="A10" s="182">
        <v>43866</v>
      </c>
      <c r="B10" s="183">
        <v>0.44023148148148145</v>
      </c>
      <c r="C10" s="184" t="s">
        <v>67</v>
      </c>
      <c r="D10" s="184" t="s">
        <v>68</v>
      </c>
      <c r="E10" s="184" t="s">
        <v>96</v>
      </c>
      <c r="F10" s="182">
        <v>43932</v>
      </c>
      <c r="G10" s="186" t="s">
        <v>114</v>
      </c>
      <c r="T10" s="184" t="s">
        <v>152</v>
      </c>
    </row>
    <row r="11" spans="1:20">
      <c r="A11" s="182">
        <v>43866</v>
      </c>
      <c r="B11" s="183">
        <v>0.44172453703703707</v>
      </c>
      <c r="C11" s="184" t="s">
        <v>67</v>
      </c>
      <c r="D11" s="184" t="s">
        <v>68</v>
      </c>
      <c r="E11" s="184" t="s">
        <v>19</v>
      </c>
      <c r="F11" s="182">
        <v>43945</v>
      </c>
      <c r="G11" s="186" t="s">
        <v>105</v>
      </c>
      <c r="T11" s="184" t="s">
        <v>152</v>
      </c>
    </row>
    <row r="12" spans="1:20">
      <c r="A12" s="182">
        <v>43866</v>
      </c>
      <c r="B12" s="183">
        <v>0.44519675925925922</v>
      </c>
      <c r="C12" s="184" t="s">
        <v>67</v>
      </c>
      <c r="D12" s="184" t="s">
        <v>68</v>
      </c>
      <c r="E12" s="184" t="s">
        <v>69</v>
      </c>
      <c r="F12" s="182">
        <v>44001</v>
      </c>
      <c r="G12" s="186" t="s">
        <v>105</v>
      </c>
      <c r="T12" s="184" t="s">
        <v>152</v>
      </c>
    </row>
    <row r="13" spans="1:20">
      <c r="A13" s="182">
        <v>43871</v>
      </c>
      <c r="B13" s="183">
        <v>0.46565972222222224</v>
      </c>
      <c r="C13" s="184" t="s">
        <v>67</v>
      </c>
      <c r="D13" s="184" t="s">
        <v>91</v>
      </c>
      <c r="E13" s="184" t="s">
        <v>96</v>
      </c>
      <c r="F13" s="182">
        <v>43932</v>
      </c>
      <c r="G13" s="186" t="s">
        <v>70</v>
      </c>
    </row>
    <row r="14" spans="1:20">
      <c r="A14" s="182">
        <v>43873</v>
      </c>
      <c r="B14" s="183">
        <v>0.5198842592592593</v>
      </c>
      <c r="C14" s="184" t="s">
        <v>73</v>
      </c>
      <c r="D14" s="184" t="s">
        <v>68</v>
      </c>
      <c r="E14" s="184" t="s">
        <v>96</v>
      </c>
      <c r="F14" s="182">
        <v>43932</v>
      </c>
      <c r="G14" s="186" t="s">
        <v>94</v>
      </c>
      <c r="T14" s="184" t="s">
        <v>153</v>
      </c>
    </row>
    <row r="15" spans="1:20">
      <c r="A15" s="182">
        <v>43873</v>
      </c>
      <c r="B15" s="183">
        <v>0.70502314814814815</v>
      </c>
      <c r="C15" s="184" t="s">
        <v>73</v>
      </c>
      <c r="D15" s="184" t="s">
        <v>78</v>
      </c>
      <c r="E15" s="184" t="s">
        <v>19</v>
      </c>
      <c r="F15" s="182">
        <v>43945</v>
      </c>
      <c r="G15" s="186" t="s">
        <v>75</v>
      </c>
    </row>
    <row r="16" spans="1:20">
      <c r="A16" s="182">
        <v>43873</v>
      </c>
      <c r="B16" s="183">
        <v>0.70512731481481483</v>
      </c>
      <c r="C16" s="184" t="s">
        <v>73</v>
      </c>
      <c r="D16" s="184" t="s">
        <v>78</v>
      </c>
      <c r="E16" s="184" t="s">
        <v>19</v>
      </c>
      <c r="F16" s="182">
        <v>44000</v>
      </c>
      <c r="G16" s="186" t="s">
        <v>75</v>
      </c>
    </row>
    <row r="17" spans="1:20">
      <c r="A17" s="182">
        <v>43874</v>
      </c>
      <c r="B17" s="183">
        <v>0.40486111111111112</v>
      </c>
      <c r="C17" s="184" t="s">
        <v>67</v>
      </c>
      <c r="D17" s="184" t="s">
        <v>68</v>
      </c>
      <c r="E17" s="184" t="s">
        <v>19</v>
      </c>
      <c r="F17" s="182">
        <v>44000</v>
      </c>
      <c r="G17" s="186" t="s">
        <v>70</v>
      </c>
      <c r="T17" s="184" t="s">
        <v>154</v>
      </c>
    </row>
    <row r="18" spans="1:20">
      <c r="A18" s="182">
        <v>43874</v>
      </c>
      <c r="B18" s="183">
        <v>0.40598379629629627</v>
      </c>
      <c r="C18" s="184" t="s">
        <v>67</v>
      </c>
      <c r="D18" s="184" t="s">
        <v>68</v>
      </c>
      <c r="E18" s="184" t="s">
        <v>124</v>
      </c>
      <c r="F18" s="182">
        <v>44029</v>
      </c>
      <c r="G18" s="186" t="s">
        <v>70</v>
      </c>
      <c r="T18" s="184" t="s">
        <v>154</v>
      </c>
    </row>
    <row r="19" spans="1:20">
      <c r="A19" s="182">
        <v>43874</v>
      </c>
      <c r="B19" s="183">
        <v>0.65313657407407411</v>
      </c>
      <c r="C19" s="184" t="s">
        <v>67</v>
      </c>
      <c r="D19" s="184" t="s">
        <v>78</v>
      </c>
      <c r="E19" s="184" t="s">
        <v>89</v>
      </c>
      <c r="F19" s="182">
        <v>43973</v>
      </c>
      <c r="G19" s="186" t="s">
        <v>70</v>
      </c>
    </row>
    <row r="20" spans="1:20">
      <c r="A20" s="182">
        <v>43875</v>
      </c>
      <c r="B20" s="183">
        <v>0.39461805555555557</v>
      </c>
      <c r="C20" s="184" t="s">
        <v>73</v>
      </c>
      <c r="D20" s="184" t="s">
        <v>78</v>
      </c>
      <c r="E20" s="184" t="s">
        <v>19</v>
      </c>
      <c r="F20" s="182">
        <v>43945</v>
      </c>
      <c r="G20" s="186" t="s">
        <v>114</v>
      </c>
    </row>
    <row r="21" spans="1:20">
      <c r="A21" s="182">
        <v>43875</v>
      </c>
      <c r="B21" s="183">
        <v>0.39534722222222224</v>
      </c>
      <c r="C21" s="184" t="s">
        <v>73</v>
      </c>
      <c r="D21" s="184" t="s">
        <v>78</v>
      </c>
      <c r="E21" s="184" t="s">
        <v>45</v>
      </c>
      <c r="F21" s="182">
        <v>43967</v>
      </c>
      <c r="G21" s="186" t="s">
        <v>75</v>
      </c>
    </row>
    <row r="22" spans="1:20">
      <c r="A22" s="182">
        <v>43875</v>
      </c>
      <c r="B22" s="183">
        <v>0.58745370370370364</v>
      </c>
      <c r="C22" s="184" t="s">
        <v>73</v>
      </c>
      <c r="D22" s="184" t="s">
        <v>68</v>
      </c>
      <c r="E22" s="184" t="s">
        <v>69</v>
      </c>
      <c r="F22" s="182">
        <v>43941</v>
      </c>
      <c r="G22" s="186" t="s">
        <v>105</v>
      </c>
      <c r="T22" s="184" t="s">
        <v>155</v>
      </c>
    </row>
    <row r="23" spans="1:20">
      <c r="A23" s="182">
        <v>43878</v>
      </c>
      <c r="B23" s="183">
        <v>0.45798611111111115</v>
      </c>
      <c r="C23" s="184" t="s">
        <v>73</v>
      </c>
      <c r="D23" s="184" t="s">
        <v>68</v>
      </c>
      <c r="E23" s="184" t="s">
        <v>96</v>
      </c>
      <c r="F23" s="182">
        <v>43932</v>
      </c>
      <c r="G23" s="186" t="s">
        <v>94</v>
      </c>
      <c r="T23" s="184" t="s">
        <v>156</v>
      </c>
    </row>
    <row r="24" spans="1:20">
      <c r="A24" s="182">
        <v>43878</v>
      </c>
      <c r="B24" s="183">
        <v>0.5821412037037037</v>
      </c>
      <c r="C24" s="184" t="s">
        <v>73</v>
      </c>
      <c r="D24" s="184" t="s">
        <v>68</v>
      </c>
      <c r="E24" s="184" t="s">
        <v>96</v>
      </c>
      <c r="F24" s="182">
        <v>43932</v>
      </c>
      <c r="G24" s="186" t="s">
        <v>94</v>
      </c>
      <c r="T24" s="184" t="s">
        <v>157</v>
      </c>
    </row>
    <row r="25" spans="1:20">
      <c r="A25" s="182">
        <v>43878</v>
      </c>
      <c r="B25" s="183">
        <v>0.60339120370370369</v>
      </c>
      <c r="C25" s="184" t="s">
        <v>73</v>
      </c>
      <c r="D25" s="184" t="s">
        <v>68</v>
      </c>
      <c r="E25" s="184" t="s">
        <v>96</v>
      </c>
      <c r="F25" s="182">
        <v>43932</v>
      </c>
      <c r="G25" s="186" t="s">
        <v>112</v>
      </c>
      <c r="T25" s="184" t="s">
        <v>158</v>
      </c>
    </row>
    <row r="26" spans="1:20">
      <c r="A26" s="182">
        <v>43878</v>
      </c>
      <c r="B26" s="183">
        <v>0.6466319444444445</v>
      </c>
      <c r="C26" s="184" t="s">
        <v>73</v>
      </c>
      <c r="D26" s="184" t="s">
        <v>159</v>
      </c>
      <c r="E26" s="184" t="s">
        <v>19</v>
      </c>
      <c r="F26" s="182">
        <v>43945</v>
      </c>
      <c r="G26" s="186" t="s">
        <v>70</v>
      </c>
    </row>
    <row r="27" spans="1:20">
      <c r="A27" s="182">
        <v>43881</v>
      </c>
      <c r="B27" s="183">
        <v>0.5387615740740741</v>
      </c>
      <c r="C27" s="184" t="s">
        <v>67</v>
      </c>
      <c r="D27" s="184" t="s">
        <v>68</v>
      </c>
      <c r="E27" s="184" t="s">
        <v>69</v>
      </c>
      <c r="F27" s="182">
        <v>44001</v>
      </c>
      <c r="G27" s="186" t="s">
        <v>112</v>
      </c>
      <c r="T27" s="184" t="s">
        <v>155</v>
      </c>
    </row>
    <row r="28" spans="1:20">
      <c r="A28" s="182">
        <v>43881</v>
      </c>
      <c r="B28" s="183">
        <v>0.54094907407407411</v>
      </c>
      <c r="C28" s="184" t="s">
        <v>67</v>
      </c>
      <c r="D28" s="184" t="s">
        <v>78</v>
      </c>
      <c r="E28" s="184" t="s">
        <v>96</v>
      </c>
      <c r="F28" s="182">
        <v>43932</v>
      </c>
      <c r="G28" s="186" t="s">
        <v>70</v>
      </c>
    </row>
    <row r="29" spans="1:20">
      <c r="A29" s="182">
        <v>43881</v>
      </c>
      <c r="B29" s="183">
        <v>0.59469907407407407</v>
      </c>
      <c r="C29" s="184" t="s">
        <v>67</v>
      </c>
      <c r="D29" s="184" t="s">
        <v>78</v>
      </c>
      <c r="E29" s="184" t="s">
        <v>96</v>
      </c>
      <c r="F29" s="182">
        <v>43932</v>
      </c>
      <c r="G29" s="186" t="s">
        <v>94</v>
      </c>
    </row>
    <row r="30" spans="1:20">
      <c r="A30" s="182">
        <v>43881</v>
      </c>
      <c r="B30" s="183">
        <v>0.59496527777777775</v>
      </c>
      <c r="C30" s="184" t="s">
        <v>67</v>
      </c>
      <c r="D30" s="184" t="s">
        <v>78</v>
      </c>
      <c r="E30" s="184" t="s">
        <v>45</v>
      </c>
      <c r="F30" s="182">
        <v>43967</v>
      </c>
      <c r="G30" s="186" t="s">
        <v>94</v>
      </c>
    </row>
    <row r="31" spans="1:20">
      <c r="A31" s="182">
        <v>43881</v>
      </c>
      <c r="B31" s="183">
        <v>0.59515046296296303</v>
      </c>
      <c r="C31" s="184" t="s">
        <v>67</v>
      </c>
      <c r="D31" s="184" t="s">
        <v>78</v>
      </c>
      <c r="E31" s="184" t="s">
        <v>19</v>
      </c>
      <c r="F31" s="182">
        <v>44000</v>
      </c>
      <c r="G31" s="186" t="s">
        <v>94</v>
      </c>
    </row>
    <row r="32" spans="1:20">
      <c r="A32" s="182">
        <v>43882</v>
      </c>
      <c r="B32" s="183">
        <v>0.64688657407407402</v>
      </c>
      <c r="C32" s="184" t="s">
        <v>73</v>
      </c>
      <c r="D32" s="184" t="s">
        <v>68</v>
      </c>
      <c r="E32" s="184" t="s">
        <v>69</v>
      </c>
      <c r="F32" s="182">
        <v>43941</v>
      </c>
      <c r="G32" s="186" t="s">
        <v>160</v>
      </c>
      <c r="T32" s="184" t="s">
        <v>155</v>
      </c>
    </row>
    <row r="33" spans="1:20">
      <c r="A33" s="182">
        <v>43886</v>
      </c>
      <c r="B33" s="183">
        <v>0.48875000000000002</v>
      </c>
      <c r="C33" s="184" t="s">
        <v>67</v>
      </c>
      <c r="D33" s="184" t="s">
        <v>78</v>
      </c>
      <c r="E33" s="184" t="s">
        <v>19</v>
      </c>
      <c r="F33" s="182">
        <v>43945</v>
      </c>
      <c r="G33" s="186" t="s">
        <v>94</v>
      </c>
    </row>
    <row r="34" spans="1:20">
      <c r="A34" s="182">
        <v>43886</v>
      </c>
      <c r="B34" s="183">
        <v>0.48887731481481483</v>
      </c>
      <c r="C34" s="184" t="s">
        <v>67</v>
      </c>
      <c r="D34" s="184" t="s">
        <v>78</v>
      </c>
      <c r="E34" s="184" t="s">
        <v>19</v>
      </c>
      <c r="F34" s="182">
        <v>44000</v>
      </c>
      <c r="G34" s="186" t="s">
        <v>99</v>
      </c>
    </row>
    <row r="35" spans="1:20">
      <c r="A35" s="182">
        <v>43886</v>
      </c>
      <c r="B35" s="183">
        <v>0.48906250000000001</v>
      </c>
      <c r="C35" s="184" t="s">
        <v>67</v>
      </c>
      <c r="D35" s="184" t="s">
        <v>78</v>
      </c>
      <c r="E35" s="184" t="s">
        <v>96</v>
      </c>
      <c r="F35" s="182">
        <v>43932</v>
      </c>
      <c r="G35" s="186" t="s">
        <v>99</v>
      </c>
    </row>
    <row r="36" spans="1:20">
      <c r="A36" s="182">
        <v>43886</v>
      </c>
      <c r="B36" s="183">
        <v>0.48920138888888887</v>
      </c>
      <c r="C36" s="184" t="s">
        <v>67</v>
      </c>
      <c r="D36" s="184" t="s">
        <v>78</v>
      </c>
      <c r="E36" s="184" t="s">
        <v>96</v>
      </c>
      <c r="F36" s="182">
        <v>44142</v>
      </c>
      <c r="G36" s="186" t="s">
        <v>70</v>
      </c>
    </row>
    <row r="37" spans="1:20">
      <c r="A37" s="182">
        <v>43886</v>
      </c>
      <c r="B37" s="183">
        <v>0.69486111111111104</v>
      </c>
      <c r="C37" s="184" t="s">
        <v>67</v>
      </c>
      <c r="D37" s="184" t="s">
        <v>78</v>
      </c>
      <c r="E37" s="184" t="s">
        <v>69</v>
      </c>
      <c r="F37" s="182">
        <v>43941</v>
      </c>
      <c r="G37" s="186" t="s">
        <v>70</v>
      </c>
    </row>
    <row r="38" spans="1:20">
      <c r="A38" s="182">
        <v>43887</v>
      </c>
      <c r="B38" s="183">
        <v>0.68284722222222216</v>
      </c>
      <c r="C38" s="184" t="s">
        <v>67</v>
      </c>
      <c r="D38" s="184" t="s">
        <v>78</v>
      </c>
      <c r="E38" s="184" t="s">
        <v>96</v>
      </c>
      <c r="F38" s="182">
        <v>43932</v>
      </c>
      <c r="G38" s="186" t="s">
        <v>94</v>
      </c>
    </row>
    <row r="39" spans="1:20">
      <c r="A39" s="182">
        <v>43888</v>
      </c>
      <c r="B39" s="183">
        <v>0.39879629629629632</v>
      </c>
      <c r="C39" s="184" t="s">
        <v>73</v>
      </c>
      <c r="D39" s="184" t="s">
        <v>91</v>
      </c>
      <c r="E39" s="184" t="s">
        <v>96</v>
      </c>
      <c r="F39" s="182">
        <v>43932</v>
      </c>
      <c r="G39" s="186" t="s">
        <v>114</v>
      </c>
    </row>
    <row r="40" spans="1:20">
      <c r="A40" s="182">
        <v>43888</v>
      </c>
      <c r="B40" s="183">
        <v>0.70997685185185189</v>
      </c>
      <c r="C40" s="184" t="s">
        <v>67</v>
      </c>
      <c r="D40" s="184" t="s">
        <v>68</v>
      </c>
      <c r="E40" s="184" t="s">
        <v>96</v>
      </c>
      <c r="F40" s="182">
        <v>43932</v>
      </c>
      <c r="G40" s="186" t="s">
        <v>94</v>
      </c>
      <c r="T40" s="184" t="s">
        <v>161</v>
      </c>
    </row>
    <row r="41" spans="1:20">
      <c r="A41" s="182">
        <v>43888</v>
      </c>
      <c r="B41" s="183">
        <v>0.71070601851851845</v>
      </c>
      <c r="C41" s="184" t="s">
        <v>67</v>
      </c>
      <c r="D41" s="184" t="s">
        <v>68</v>
      </c>
      <c r="E41" s="184" t="s">
        <v>19</v>
      </c>
      <c r="F41" s="182">
        <v>43945</v>
      </c>
      <c r="G41" s="186" t="s">
        <v>94</v>
      </c>
      <c r="T41" s="184" t="s">
        <v>161</v>
      </c>
    </row>
    <row r="42" spans="1:20">
      <c r="A42" s="182">
        <v>43889</v>
      </c>
      <c r="B42" s="183">
        <v>0.5590046296296296</v>
      </c>
      <c r="C42" s="184" t="s">
        <v>73</v>
      </c>
      <c r="D42" s="184" t="s">
        <v>68</v>
      </c>
      <c r="E42" s="184" t="s">
        <v>124</v>
      </c>
      <c r="F42" s="182">
        <v>44029</v>
      </c>
      <c r="G42" s="186" t="s">
        <v>162</v>
      </c>
      <c r="T42" s="184" t="s">
        <v>163</v>
      </c>
    </row>
    <row r="43" spans="1:20">
      <c r="A43" s="182">
        <v>43889</v>
      </c>
      <c r="B43" s="183">
        <v>0.56445601851851845</v>
      </c>
      <c r="C43" s="184" t="s">
        <v>67</v>
      </c>
      <c r="D43" s="184" t="s">
        <v>68</v>
      </c>
      <c r="E43" s="184" t="s">
        <v>124</v>
      </c>
      <c r="F43" s="182">
        <v>44029</v>
      </c>
      <c r="G43" s="186" t="s">
        <v>94</v>
      </c>
      <c r="T43" s="184" t="s">
        <v>164</v>
      </c>
    </row>
    <row r="44" spans="1:20">
      <c r="A44" s="182">
        <v>43892</v>
      </c>
      <c r="B44" s="183">
        <v>0.44950231481481479</v>
      </c>
      <c r="C44" s="184" t="s">
        <v>67</v>
      </c>
      <c r="D44" s="184" t="s">
        <v>68</v>
      </c>
      <c r="E44" s="184" t="s">
        <v>96</v>
      </c>
      <c r="F44" s="182">
        <v>43932</v>
      </c>
      <c r="G44" s="186" t="s">
        <v>99</v>
      </c>
      <c r="T44" s="184" t="s">
        <v>161</v>
      </c>
    </row>
    <row r="45" spans="1:20">
      <c r="A45" s="182">
        <v>43892</v>
      </c>
      <c r="B45" s="183">
        <v>0.47596064814814815</v>
      </c>
      <c r="C45" s="184" t="s">
        <v>67</v>
      </c>
      <c r="D45" s="184" t="s">
        <v>91</v>
      </c>
      <c r="E45" s="184" t="s">
        <v>45</v>
      </c>
      <c r="F45" s="182">
        <v>43967</v>
      </c>
      <c r="G45" s="186" t="s">
        <v>105</v>
      </c>
    </row>
    <row r="46" spans="1:20">
      <c r="A46" s="182">
        <v>43892</v>
      </c>
      <c r="B46" s="183">
        <v>0.58054398148148145</v>
      </c>
      <c r="C46" s="184" t="s">
        <v>73</v>
      </c>
      <c r="D46" s="184" t="s">
        <v>68</v>
      </c>
      <c r="E46" s="184" t="s">
        <v>19</v>
      </c>
      <c r="F46" s="182">
        <v>43945</v>
      </c>
      <c r="G46" s="186" t="s">
        <v>70</v>
      </c>
      <c r="T46" s="184" t="s">
        <v>165</v>
      </c>
    </row>
    <row r="47" spans="1:20">
      <c r="A47" s="182">
        <v>43892</v>
      </c>
      <c r="B47" s="183">
        <v>0.58182870370370365</v>
      </c>
      <c r="C47" s="184" t="s">
        <v>73</v>
      </c>
      <c r="D47" s="184" t="s">
        <v>68</v>
      </c>
      <c r="E47" s="184" t="s">
        <v>95</v>
      </c>
      <c r="F47" s="182">
        <v>43959</v>
      </c>
      <c r="G47" s="186" t="s">
        <v>70</v>
      </c>
      <c r="T47" s="184" t="s">
        <v>165</v>
      </c>
    </row>
    <row r="48" spans="1:20">
      <c r="A48" s="182">
        <v>43892</v>
      </c>
      <c r="B48" s="183">
        <v>0.58265046296296297</v>
      </c>
      <c r="C48" s="184" t="s">
        <v>73</v>
      </c>
      <c r="D48" s="184" t="s">
        <v>68</v>
      </c>
      <c r="E48" s="184" t="s">
        <v>69</v>
      </c>
      <c r="F48" s="182">
        <v>43941</v>
      </c>
      <c r="G48" s="186" t="s">
        <v>94</v>
      </c>
      <c r="T48" s="184" t="s">
        <v>165</v>
      </c>
    </row>
    <row r="49" spans="1:20">
      <c r="A49" s="182">
        <v>43892</v>
      </c>
      <c r="B49" s="183">
        <v>0.59895833333333337</v>
      </c>
      <c r="C49" s="184" t="s">
        <v>73</v>
      </c>
      <c r="D49" s="184" t="s">
        <v>68</v>
      </c>
      <c r="E49" s="184" t="s">
        <v>19</v>
      </c>
      <c r="F49" s="182">
        <v>43945</v>
      </c>
      <c r="G49" s="186" t="s">
        <v>94</v>
      </c>
      <c r="T49" s="184" t="s">
        <v>165</v>
      </c>
    </row>
    <row r="50" spans="1:20">
      <c r="A50" s="182">
        <v>43892</v>
      </c>
      <c r="B50" s="183">
        <v>0.59953703703703709</v>
      </c>
      <c r="C50" s="184" t="s">
        <v>73</v>
      </c>
      <c r="D50" s="184" t="s">
        <v>68</v>
      </c>
      <c r="E50" s="184" t="s">
        <v>95</v>
      </c>
      <c r="F50" s="182">
        <v>43959</v>
      </c>
      <c r="G50" s="186" t="s">
        <v>94</v>
      </c>
      <c r="T50" s="184" t="s">
        <v>165</v>
      </c>
    </row>
    <row r="51" spans="1:20">
      <c r="A51" s="182">
        <v>43892</v>
      </c>
      <c r="B51" s="183">
        <v>0.63096064814814812</v>
      </c>
      <c r="C51" s="184" t="s">
        <v>73</v>
      </c>
      <c r="D51" s="184" t="s">
        <v>68</v>
      </c>
      <c r="E51" s="184" t="s">
        <v>19</v>
      </c>
      <c r="F51" s="182">
        <v>43945</v>
      </c>
      <c r="G51" s="186" t="s">
        <v>94</v>
      </c>
      <c r="T51" s="184" t="s">
        <v>166</v>
      </c>
    </row>
    <row r="52" spans="1:20">
      <c r="A52" s="182">
        <v>43893</v>
      </c>
      <c r="B52" s="183">
        <v>0.66234953703703703</v>
      </c>
      <c r="C52" s="184" t="s">
        <v>67</v>
      </c>
      <c r="D52" s="184" t="s">
        <v>68</v>
      </c>
      <c r="E52" s="184" t="s">
        <v>89</v>
      </c>
      <c r="F52" s="182">
        <v>43973</v>
      </c>
      <c r="G52" s="186" t="s">
        <v>83</v>
      </c>
      <c r="T52" s="184" t="s">
        <v>118</v>
      </c>
    </row>
    <row r="53" spans="1:20">
      <c r="A53" s="182">
        <v>43894</v>
      </c>
      <c r="B53" s="183">
        <v>0.45762731481481483</v>
      </c>
      <c r="C53" s="184" t="s">
        <v>67</v>
      </c>
      <c r="D53" s="184" t="s">
        <v>68</v>
      </c>
      <c r="E53" s="184" t="s">
        <v>19</v>
      </c>
      <c r="F53" s="182">
        <v>43945</v>
      </c>
      <c r="G53" s="186" t="s">
        <v>99</v>
      </c>
      <c r="T53" s="184" t="s">
        <v>152</v>
      </c>
    </row>
    <row r="54" spans="1:20">
      <c r="A54" s="182">
        <v>43894</v>
      </c>
      <c r="B54" s="183">
        <v>0.457974537037037</v>
      </c>
      <c r="C54" s="184" t="s">
        <v>67</v>
      </c>
      <c r="D54" s="184" t="s">
        <v>68</v>
      </c>
      <c r="E54" s="184" t="s">
        <v>96</v>
      </c>
      <c r="F54" s="182">
        <v>43932</v>
      </c>
      <c r="G54" s="186" t="s">
        <v>99</v>
      </c>
      <c r="T54" s="184" t="s">
        <v>152</v>
      </c>
    </row>
    <row r="55" spans="1:20">
      <c r="A55" s="182">
        <v>43894</v>
      </c>
      <c r="B55" s="183">
        <v>0.46327546296296296</v>
      </c>
      <c r="C55" s="184" t="s">
        <v>67</v>
      </c>
      <c r="D55" s="184" t="s">
        <v>91</v>
      </c>
      <c r="E55" s="184" t="s">
        <v>96</v>
      </c>
      <c r="F55" s="182">
        <v>43932</v>
      </c>
      <c r="G55" s="186" t="s">
        <v>114</v>
      </c>
    </row>
    <row r="56" spans="1:20">
      <c r="A56" s="182">
        <v>43894</v>
      </c>
      <c r="B56" s="183">
        <v>0.64858796296296295</v>
      </c>
      <c r="C56" s="184" t="s">
        <v>67</v>
      </c>
      <c r="D56" s="184" t="s">
        <v>91</v>
      </c>
      <c r="E56" s="184" t="s">
        <v>96</v>
      </c>
      <c r="F56" s="182">
        <v>43981</v>
      </c>
      <c r="G56" s="186" t="s">
        <v>70</v>
      </c>
    </row>
    <row r="57" spans="1:20">
      <c r="A57" s="182">
        <v>43895</v>
      </c>
      <c r="B57" s="183">
        <v>0.42818287037037034</v>
      </c>
      <c r="C57" s="184" t="s">
        <v>73</v>
      </c>
      <c r="D57" s="184" t="s">
        <v>68</v>
      </c>
      <c r="E57" s="184" t="s">
        <v>19</v>
      </c>
      <c r="F57" s="182">
        <v>43945</v>
      </c>
      <c r="G57" s="186" t="s">
        <v>114</v>
      </c>
      <c r="T57" s="184" t="s">
        <v>167</v>
      </c>
    </row>
    <row r="58" spans="1:20">
      <c r="A58" s="182">
        <v>43895</v>
      </c>
      <c r="B58" s="183">
        <v>0.43106481481481485</v>
      </c>
      <c r="C58" s="184" t="s">
        <v>73</v>
      </c>
      <c r="D58" s="184" t="s">
        <v>68</v>
      </c>
      <c r="E58" s="184" t="s">
        <v>19</v>
      </c>
      <c r="F58" s="182">
        <v>43945</v>
      </c>
      <c r="G58" s="186" t="s">
        <v>94</v>
      </c>
      <c r="T58" s="184" t="s">
        <v>167</v>
      </c>
    </row>
    <row r="59" spans="1:20">
      <c r="A59" s="182">
        <v>43895</v>
      </c>
      <c r="B59" s="183">
        <v>0.48379629629629628</v>
      </c>
      <c r="C59" s="184" t="s">
        <v>67</v>
      </c>
      <c r="D59" s="184" t="s">
        <v>78</v>
      </c>
      <c r="E59" s="184" t="s">
        <v>96</v>
      </c>
      <c r="F59" s="182">
        <v>43932</v>
      </c>
      <c r="G59" s="186" t="s">
        <v>94</v>
      </c>
    </row>
    <row r="60" spans="1:20">
      <c r="A60" s="182">
        <v>43896</v>
      </c>
      <c r="B60" s="183">
        <v>0.37942129629629634</v>
      </c>
      <c r="C60" s="184" t="s">
        <v>67</v>
      </c>
      <c r="D60" s="184" t="s">
        <v>68</v>
      </c>
      <c r="E60" s="184" t="s">
        <v>96</v>
      </c>
      <c r="F60" s="182">
        <v>43932</v>
      </c>
      <c r="G60" s="186" t="s">
        <v>94</v>
      </c>
      <c r="T60" s="184" t="s">
        <v>168</v>
      </c>
    </row>
    <row r="61" spans="1:20">
      <c r="A61" s="182">
        <v>43896</v>
      </c>
      <c r="B61" s="183">
        <v>0.65917824074074072</v>
      </c>
      <c r="C61" s="184" t="s">
        <v>73</v>
      </c>
      <c r="D61" s="184" t="s">
        <v>68</v>
      </c>
      <c r="E61" s="184" t="s">
        <v>19</v>
      </c>
      <c r="F61" s="182">
        <v>43945</v>
      </c>
      <c r="G61" s="186" t="s">
        <v>70</v>
      </c>
      <c r="T61" s="184" t="s">
        <v>169</v>
      </c>
    </row>
    <row r="62" spans="1:20">
      <c r="A62" s="182">
        <v>43899</v>
      </c>
      <c r="B62" s="183">
        <v>0.38516203703703705</v>
      </c>
      <c r="C62" s="184" t="s">
        <v>73</v>
      </c>
      <c r="D62" s="184" t="s">
        <v>68</v>
      </c>
      <c r="E62" s="184" t="s">
        <v>96</v>
      </c>
      <c r="F62" s="182">
        <v>43932</v>
      </c>
      <c r="G62" s="186" t="s">
        <v>94</v>
      </c>
      <c r="T62" s="184" t="s">
        <v>170</v>
      </c>
    </row>
    <row r="63" spans="1:20">
      <c r="A63" s="182">
        <v>43899</v>
      </c>
      <c r="B63" s="183">
        <v>0.46917824074074077</v>
      </c>
      <c r="C63" s="184" t="s">
        <v>73</v>
      </c>
      <c r="D63" s="184" t="s">
        <v>91</v>
      </c>
      <c r="E63" s="184" t="s">
        <v>19</v>
      </c>
      <c r="F63" s="182">
        <v>43945</v>
      </c>
      <c r="G63" s="186" t="s">
        <v>70</v>
      </c>
    </row>
    <row r="64" spans="1:20">
      <c r="A64" s="182">
        <v>43899</v>
      </c>
      <c r="B64" s="183">
        <v>0.55210648148148145</v>
      </c>
      <c r="C64" s="184" t="s">
        <v>73</v>
      </c>
      <c r="D64" s="184" t="s">
        <v>68</v>
      </c>
      <c r="E64" s="184" t="s">
        <v>124</v>
      </c>
      <c r="F64" s="182">
        <v>44029</v>
      </c>
      <c r="G64" s="186" t="s">
        <v>94</v>
      </c>
      <c r="T64" s="184" t="s">
        <v>171</v>
      </c>
    </row>
    <row r="65" spans="1:20">
      <c r="A65" s="182">
        <v>43899</v>
      </c>
      <c r="B65" s="183">
        <v>0.60479166666666673</v>
      </c>
      <c r="C65" s="184" t="s">
        <v>73</v>
      </c>
      <c r="D65" s="184" t="s">
        <v>91</v>
      </c>
      <c r="E65" s="184" t="s">
        <v>96</v>
      </c>
      <c r="F65" s="182">
        <v>43932</v>
      </c>
      <c r="G65" s="186" t="s">
        <v>94</v>
      </c>
    </row>
    <row r="66" spans="1:20">
      <c r="A66" s="182">
        <v>43900</v>
      </c>
      <c r="B66" s="183">
        <v>0.38008101851851855</v>
      </c>
      <c r="C66" s="184" t="s">
        <v>73</v>
      </c>
      <c r="D66" s="184" t="s">
        <v>68</v>
      </c>
      <c r="E66" s="184" t="s">
        <v>19</v>
      </c>
      <c r="F66" s="182">
        <v>43945</v>
      </c>
      <c r="G66" s="186" t="s">
        <v>112</v>
      </c>
      <c r="T66" s="184" t="s">
        <v>172</v>
      </c>
    </row>
    <row r="67" spans="1:20">
      <c r="A67" s="182">
        <v>43900</v>
      </c>
      <c r="B67" s="183">
        <v>0.38686342592592587</v>
      </c>
      <c r="C67" s="184" t="s">
        <v>73</v>
      </c>
      <c r="D67" s="184" t="s">
        <v>68</v>
      </c>
      <c r="E67" s="184" t="s">
        <v>45</v>
      </c>
      <c r="F67" s="182">
        <v>43994</v>
      </c>
      <c r="G67" s="186" t="s">
        <v>105</v>
      </c>
      <c r="T67" s="184" t="s">
        <v>173</v>
      </c>
    </row>
    <row r="68" spans="1:20">
      <c r="A68" s="182">
        <v>43900</v>
      </c>
      <c r="B68" s="183">
        <v>0.40857638888888892</v>
      </c>
      <c r="C68" s="184" t="s">
        <v>67</v>
      </c>
      <c r="D68" s="184" t="s">
        <v>78</v>
      </c>
      <c r="E68" s="184" t="s">
        <v>19</v>
      </c>
      <c r="F68" s="182">
        <v>43945</v>
      </c>
      <c r="G68" s="186" t="s">
        <v>112</v>
      </c>
    </row>
    <row r="69" spans="1:20">
      <c r="A69" s="182">
        <v>43900</v>
      </c>
      <c r="B69" s="183">
        <v>0.45944444444444449</v>
      </c>
      <c r="C69" s="184" t="s">
        <v>73</v>
      </c>
      <c r="D69" s="184" t="s">
        <v>68</v>
      </c>
      <c r="E69" s="184" t="s">
        <v>96</v>
      </c>
      <c r="F69" s="182">
        <v>43981</v>
      </c>
      <c r="G69" s="186" t="s">
        <v>70</v>
      </c>
      <c r="T69" s="184" t="s">
        <v>174</v>
      </c>
    </row>
    <row r="70" spans="1:20">
      <c r="A70" s="182">
        <v>43900</v>
      </c>
      <c r="B70" s="183">
        <v>0.58988425925925925</v>
      </c>
      <c r="C70" s="184" t="s">
        <v>73</v>
      </c>
      <c r="D70" s="184" t="s">
        <v>68</v>
      </c>
      <c r="E70" s="184" t="s">
        <v>19</v>
      </c>
      <c r="F70" s="182">
        <v>44105</v>
      </c>
      <c r="G70" s="186" t="s">
        <v>70</v>
      </c>
      <c r="T70" s="184" t="s">
        <v>102</v>
      </c>
    </row>
    <row r="71" spans="1:20">
      <c r="A71" s="182">
        <v>43900</v>
      </c>
      <c r="B71" s="183">
        <v>0.65288194444444447</v>
      </c>
      <c r="C71" s="184" t="s">
        <v>73</v>
      </c>
      <c r="D71" s="184" t="s">
        <v>68</v>
      </c>
      <c r="E71" s="184" t="s">
        <v>96</v>
      </c>
      <c r="F71" s="182">
        <v>43981</v>
      </c>
      <c r="G71" s="186" t="s">
        <v>94</v>
      </c>
      <c r="T71" s="184" t="s">
        <v>175</v>
      </c>
    </row>
    <row r="72" spans="1:20">
      <c r="A72" s="182">
        <v>43901</v>
      </c>
      <c r="B72" s="183">
        <v>0.4700462962962963</v>
      </c>
      <c r="C72" s="184" t="s">
        <v>67</v>
      </c>
      <c r="D72" s="184" t="s">
        <v>91</v>
      </c>
      <c r="E72" s="184" t="s">
        <v>95</v>
      </c>
      <c r="F72" s="182">
        <v>43959</v>
      </c>
      <c r="G72" s="186" t="s">
        <v>70</v>
      </c>
    </row>
    <row r="73" spans="1:20">
      <c r="A73" s="182">
        <v>43901</v>
      </c>
      <c r="B73" s="183">
        <v>0.47821759259259261</v>
      </c>
      <c r="C73" s="184" t="s">
        <v>67</v>
      </c>
      <c r="D73" s="184" t="s">
        <v>78</v>
      </c>
      <c r="E73" s="184" t="s">
        <v>85</v>
      </c>
      <c r="F73" s="182">
        <v>43948</v>
      </c>
      <c r="G73" s="186" t="s">
        <v>70</v>
      </c>
    </row>
    <row r="74" spans="1:20">
      <c r="A74" s="182">
        <v>43901</v>
      </c>
      <c r="B74" s="183">
        <v>0.64270833333333333</v>
      </c>
      <c r="C74" s="184" t="s">
        <v>67</v>
      </c>
      <c r="D74" s="184" t="s">
        <v>68</v>
      </c>
      <c r="E74" s="184" t="s">
        <v>69</v>
      </c>
      <c r="F74" s="182">
        <v>44001</v>
      </c>
      <c r="G74" s="186" t="s">
        <v>94</v>
      </c>
      <c r="T74" s="184" t="s">
        <v>176</v>
      </c>
    </row>
    <row r="75" spans="1:20">
      <c r="A75" s="182">
        <v>43901</v>
      </c>
      <c r="B75" s="183">
        <v>0.68976851851851861</v>
      </c>
      <c r="C75" s="184" t="s">
        <v>67</v>
      </c>
      <c r="D75" s="184" t="s">
        <v>78</v>
      </c>
      <c r="E75" s="184" t="s">
        <v>19</v>
      </c>
      <c r="F75" s="182">
        <v>43945</v>
      </c>
      <c r="G75" s="186" t="s">
        <v>94</v>
      </c>
    </row>
    <row r="76" spans="1:20">
      <c r="A76" s="182">
        <v>43901</v>
      </c>
      <c r="B76" s="183">
        <v>0.73291666666666666</v>
      </c>
      <c r="C76" s="184" t="s">
        <v>67</v>
      </c>
      <c r="D76" s="184" t="s">
        <v>68</v>
      </c>
      <c r="E76" s="184" t="s">
        <v>19</v>
      </c>
      <c r="F76" s="182">
        <v>43945</v>
      </c>
      <c r="G76" s="186" t="s">
        <v>94</v>
      </c>
      <c r="T76" s="184" t="s">
        <v>177</v>
      </c>
    </row>
    <row r="77" spans="1:20">
      <c r="A77" s="182">
        <v>43902</v>
      </c>
      <c r="B77" s="183">
        <v>0.42550925925925925</v>
      </c>
      <c r="C77" s="184" t="s">
        <v>67</v>
      </c>
      <c r="D77" s="184" t="s">
        <v>78</v>
      </c>
      <c r="E77" s="184" t="s">
        <v>19</v>
      </c>
      <c r="F77" s="182">
        <v>43945</v>
      </c>
      <c r="G77" s="186" t="s">
        <v>178</v>
      </c>
    </row>
    <row r="78" spans="1:20">
      <c r="A78" s="182">
        <v>43902</v>
      </c>
      <c r="B78" s="183">
        <v>0.42572916666666666</v>
      </c>
      <c r="C78" s="184" t="s">
        <v>67</v>
      </c>
      <c r="D78" s="184" t="s">
        <v>78</v>
      </c>
      <c r="E78" s="184" t="s">
        <v>45</v>
      </c>
      <c r="F78" s="182">
        <v>43967</v>
      </c>
      <c r="G78" s="186" t="s">
        <v>178</v>
      </c>
    </row>
    <row r="79" spans="1:20">
      <c r="A79" s="182">
        <v>43902</v>
      </c>
      <c r="B79" s="183">
        <v>0.49006944444444445</v>
      </c>
      <c r="C79" s="184" t="s">
        <v>67</v>
      </c>
      <c r="D79" s="184" t="s">
        <v>68</v>
      </c>
      <c r="E79" s="184" t="s">
        <v>96</v>
      </c>
      <c r="F79" s="182">
        <v>43932</v>
      </c>
      <c r="G79" s="186" t="s">
        <v>94</v>
      </c>
      <c r="H79" s="184" t="s">
        <v>179</v>
      </c>
      <c r="T79" s="184" t="s">
        <v>180</v>
      </c>
    </row>
    <row r="80" spans="1:20">
      <c r="A80" s="182">
        <v>43903</v>
      </c>
      <c r="B80" s="183">
        <v>0.39400462962962962</v>
      </c>
      <c r="C80" s="184" t="s">
        <v>73</v>
      </c>
      <c r="D80" s="184" t="s">
        <v>68</v>
      </c>
      <c r="E80" s="184" t="s">
        <v>85</v>
      </c>
      <c r="F80" s="182">
        <v>43948</v>
      </c>
      <c r="G80" s="186" t="s">
        <v>70</v>
      </c>
      <c r="H80" s="184" t="s">
        <v>71</v>
      </c>
      <c r="T80" s="184" t="s">
        <v>181</v>
      </c>
    </row>
    <row r="81" spans="1:20">
      <c r="A81" s="182">
        <v>43903</v>
      </c>
      <c r="B81" s="183">
        <v>0.44535879629629632</v>
      </c>
      <c r="C81" s="184" t="s">
        <v>73</v>
      </c>
      <c r="D81" s="184" t="s">
        <v>68</v>
      </c>
      <c r="E81" s="184" t="s">
        <v>69</v>
      </c>
      <c r="F81" s="182">
        <v>44001</v>
      </c>
      <c r="G81" s="186" t="s">
        <v>99</v>
      </c>
      <c r="H81" s="184" t="s">
        <v>182</v>
      </c>
      <c r="T81" s="184" t="s">
        <v>152</v>
      </c>
    </row>
    <row r="82" spans="1:20">
      <c r="A82" s="182">
        <v>43903</v>
      </c>
      <c r="B82" s="183">
        <v>0.49591435185185184</v>
      </c>
      <c r="C82" s="184" t="s">
        <v>67</v>
      </c>
      <c r="D82" s="184" t="s">
        <v>91</v>
      </c>
      <c r="E82" s="184" t="s">
        <v>45</v>
      </c>
      <c r="F82" s="182">
        <v>43967</v>
      </c>
      <c r="G82" s="186" t="s">
        <v>114</v>
      </c>
      <c r="H82" s="184" t="s">
        <v>120</v>
      </c>
    </row>
    <row r="83" spans="1:20">
      <c r="A83" s="182">
        <v>43903</v>
      </c>
      <c r="B83" s="183">
        <v>0.59114583333333337</v>
      </c>
      <c r="C83" s="184" t="s">
        <v>73</v>
      </c>
      <c r="D83" s="184" t="s">
        <v>68</v>
      </c>
      <c r="E83" s="184" t="s">
        <v>96</v>
      </c>
      <c r="F83" s="182">
        <v>43932</v>
      </c>
      <c r="G83" s="186" t="s">
        <v>94</v>
      </c>
      <c r="H83" s="184" t="s">
        <v>183</v>
      </c>
      <c r="T83" s="184" t="s">
        <v>184</v>
      </c>
    </row>
    <row r="84" spans="1:20">
      <c r="A84" s="182">
        <v>43903</v>
      </c>
      <c r="B84" s="183">
        <v>0.59663194444444445</v>
      </c>
      <c r="C84" s="184" t="s">
        <v>73</v>
      </c>
      <c r="D84" s="184" t="s">
        <v>68</v>
      </c>
      <c r="E84" s="184" t="s">
        <v>19</v>
      </c>
      <c r="F84" s="182">
        <v>43945</v>
      </c>
      <c r="G84" s="186" t="s">
        <v>94</v>
      </c>
      <c r="H84" s="184" t="s">
        <v>185</v>
      </c>
      <c r="T84" s="184" t="s">
        <v>184</v>
      </c>
    </row>
    <row r="85" spans="1:20">
      <c r="A85" s="182">
        <v>43903</v>
      </c>
      <c r="B85" s="183">
        <v>0.59775462962962966</v>
      </c>
      <c r="C85" s="184" t="s">
        <v>73</v>
      </c>
      <c r="D85" s="184" t="s">
        <v>68</v>
      </c>
      <c r="E85" s="184" t="s">
        <v>95</v>
      </c>
      <c r="F85" s="182">
        <v>43959</v>
      </c>
      <c r="G85" s="186" t="s">
        <v>94</v>
      </c>
      <c r="H85" s="184" t="s">
        <v>101</v>
      </c>
      <c r="T85" s="184" t="s">
        <v>184</v>
      </c>
    </row>
    <row r="86" spans="1:20">
      <c r="A86" s="182">
        <v>43903</v>
      </c>
      <c r="B86" s="183">
        <v>0.61278935185185179</v>
      </c>
      <c r="C86" s="184" t="s">
        <v>67</v>
      </c>
      <c r="D86" s="184" t="s">
        <v>91</v>
      </c>
      <c r="E86" s="184" t="s">
        <v>19</v>
      </c>
      <c r="F86" s="182">
        <v>43945</v>
      </c>
      <c r="G86" s="186" t="s">
        <v>94</v>
      </c>
      <c r="H86" s="184" t="s">
        <v>92</v>
      </c>
    </row>
    <row r="87" spans="1:20">
      <c r="A87" s="182">
        <v>43903</v>
      </c>
      <c r="B87" s="183">
        <v>0.63732638888888882</v>
      </c>
      <c r="C87" s="184" t="s">
        <v>67</v>
      </c>
      <c r="D87" s="184" t="s">
        <v>78</v>
      </c>
      <c r="E87" s="184" t="s">
        <v>96</v>
      </c>
      <c r="F87" s="182">
        <v>43981</v>
      </c>
      <c r="G87" s="186" t="s">
        <v>105</v>
      </c>
      <c r="H87" s="184" t="s">
        <v>106</v>
      </c>
    </row>
    <row r="88" spans="1:20">
      <c r="A88" s="182">
        <v>43903</v>
      </c>
      <c r="B88" s="183">
        <v>0.63761574074074068</v>
      </c>
      <c r="C88" s="184" t="s">
        <v>67</v>
      </c>
      <c r="D88" s="184" t="s">
        <v>78</v>
      </c>
      <c r="E88" s="184" t="s">
        <v>89</v>
      </c>
      <c r="F88" s="182">
        <v>43973</v>
      </c>
      <c r="G88" s="186" t="s">
        <v>94</v>
      </c>
      <c r="H88" s="184" t="s">
        <v>107</v>
      </c>
    </row>
    <row r="89" spans="1:20">
      <c r="A89" s="182">
        <v>43903</v>
      </c>
      <c r="B89" s="183">
        <v>0.63784722222222223</v>
      </c>
      <c r="C89" s="184" t="s">
        <v>67</v>
      </c>
      <c r="D89" s="184" t="s">
        <v>78</v>
      </c>
      <c r="E89" s="184" t="s">
        <v>19</v>
      </c>
      <c r="F89" s="182">
        <v>43945</v>
      </c>
      <c r="G89" s="186" t="s">
        <v>114</v>
      </c>
      <c r="H89" s="184" t="s">
        <v>186</v>
      </c>
    </row>
    <row r="90" spans="1:20">
      <c r="A90" s="182">
        <v>43903</v>
      </c>
      <c r="B90" s="183">
        <v>0.63800925925925933</v>
      </c>
      <c r="C90" s="184" t="s">
        <v>67</v>
      </c>
      <c r="D90" s="184" t="s">
        <v>78</v>
      </c>
      <c r="E90" s="184" t="s">
        <v>19</v>
      </c>
      <c r="F90" s="182">
        <v>44070</v>
      </c>
      <c r="G90" s="186" t="s">
        <v>75</v>
      </c>
      <c r="H90" s="184" t="s">
        <v>107</v>
      </c>
    </row>
    <row r="91" spans="1:20">
      <c r="A91" s="182">
        <v>43903</v>
      </c>
      <c r="B91" s="183">
        <v>0.63826388888888885</v>
      </c>
      <c r="C91" s="184" t="s">
        <v>67</v>
      </c>
      <c r="D91" s="184" t="s">
        <v>78</v>
      </c>
      <c r="E91" s="184" t="s">
        <v>45</v>
      </c>
      <c r="F91" s="182">
        <v>43967</v>
      </c>
      <c r="G91" s="186" t="s">
        <v>114</v>
      </c>
      <c r="H91" s="184" t="s">
        <v>80</v>
      </c>
    </row>
    <row r="92" spans="1:20">
      <c r="A92" s="182">
        <v>43903</v>
      </c>
      <c r="B92" s="183">
        <v>0.63842592592592595</v>
      </c>
      <c r="C92" s="184" t="s">
        <v>67</v>
      </c>
      <c r="D92" s="184" t="s">
        <v>78</v>
      </c>
      <c r="E92" s="184" t="s">
        <v>45</v>
      </c>
      <c r="F92" s="182">
        <v>44086</v>
      </c>
      <c r="G92" s="186" t="s">
        <v>75</v>
      </c>
      <c r="H92" s="184" t="s">
        <v>107</v>
      </c>
    </row>
    <row r="93" spans="1:20">
      <c r="A93" s="182">
        <v>43906</v>
      </c>
      <c r="B93" s="183">
        <v>0.39961805555555557</v>
      </c>
      <c r="C93" s="184" t="s">
        <v>73</v>
      </c>
      <c r="D93" s="184" t="s">
        <v>68</v>
      </c>
      <c r="E93" s="184" t="s">
        <v>96</v>
      </c>
      <c r="F93" s="182">
        <v>43932</v>
      </c>
      <c r="G93" s="186" t="s">
        <v>160</v>
      </c>
      <c r="H93" s="184" t="s">
        <v>187</v>
      </c>
      <c r="T93" s="184" t="s">
        <v>188</v>
      </c>
    </row>
    <row r="94" spans="1:20">
      <c r="A94" s="182">
        <v>43906</v>
      </c>
      <c r="B94" s="183">
        <v>0.44672453703703702</v>
      </c>
      <c r="C94" s="184" t="s">
        <v>73</v>
      </c>
      <c r="D94" s="184" t="s">
        <v>91</v>
      </c>
      <c r="E94" s="184" t="s">
        <v>96</v>
      </c>
      <c r="F94" s="182">
        <v>43932</v>
      </c>
      <c r="G94" s="186" t="s">
        <v>94</v>
      </c>
      <c r="H94" s="184" t="s">
        <v>189</v>
      </c>
    </row>
    <row r="95" spans="1:20">
      <c r="A95" s="182">
        <v>43906</v>
      </c>
      <c r="B95" s="183">
        <v>0.59319444444444447</v>
      </c>
      <c r="C95" s="184" t="s">
        <v>73</v>
      </c>
      <c r="D95" s="184" t="s">
        <v>68</v>
      </c>
      <c r="E95" s="184" t="s">
        <v>19</v>
      </c>
      <c r="F95" s="182">
        <v>43945</v>
      </c>
      <c r="G95" s="186" t="s">
        <v>114</v>
      </c>
      <c r="H95" s="184" t="s">
        <v>190</v>
      </c>
      <c r="T95" s="184" t="s">
        <v>118</v>
      </c>
    </row>
    <row r="96" spans="1:20">
      <c r="A96" s="182">
        <v>43906</v>
      </c>
      <c r="B96" s="183">
        <v>0.59373842592592596</v>
      </c>
      <c r="C96" s="184" t="s">
        <v>73</v>
      </c>
      <c r="D96" s="184" t="s">
        <v>68</v>
      </c>
      <c r="E96" s="184" t="s">
        <v>96</v>
      </c>
      <c r="F96" s="182">
        <v>43932</v>
      </c>
      <c r="G96" s="186" t="s">
        <v>112</v>
      </c>
      <c r="H96" s="184" t="s">
        <v>183</v>
      </c>
      <c r="T96" s="184" t="s">
        <v>118</v>
      </c>
    </row>
    <row r="97" spans="1:20">
      <c r="A97" s="182">
        <v>43906</v>
      </c>
      <c r="B97" s="183">
        <v>0.6404050925925926</v>
      </c>
      <c r="C97" s="184" t="s">
        <v>73</v>
      </c>
      <c r="D97" s="184" t="s">
        <v>68</v>
      </c>
      <c r="E97" s="184" t="s">
        <v>96</v>
      </c>
      <c r="F97" s="182">
        <v>43932</v>
      </c>
      <c r="G97" s="186" t="s">
        <v>94</v>
      </c>
      <c r="H97" s="184" t="s">
        <v>191</v>
      </c>
      <c r="T97" s="184" t="s">
        <v>192</v>
      </c>
    </row>
    <row r="98" spans="1:20">
      <c r="A98" s="182">
        <v>43906</v>
      </c>
      <c r="B98" s="183">
        <v>0.69892361111111112</v>
      </c>
      <c r="C98" s="184" t="s">
        <v>73</v>
      </c>
      <c r="D98" s="184" t="s">
        <v>91</v>
      </c>
      <c r="E98" s="184" t="s">
        <v>96</v>
      </c>
      <c r="F98" s="182">
        <v>43932</v>
      </c>
      <c r="G98" s="186" t="s">
        <v>114</v>
      </c>
      <c r="H98" s="184" t="s">
        <v>193</v>
      </c>
    </row>
    <row r="99" spans="1:20">
      <c r="A99" s="182">
        <v>43907</v>
      </c>
      <c r="B99" s="183">
        <v>0.42422453703703705</v>
      </c>
      <c r="C99" s="184" t="s">
        <v>73</v>
      </c>
      <c r="D99" s="184" t="s">
        <v>68</v>
      </c>
      <c r="E99" s="184" t="s">
        <v>96</v>
      </c>
      <c r="F99" s="182">
        <v>43932</v>
      </c>
      <c r="G99" s="186" t="s">
        <v>94</v>
      </c>
      <c r="H99" s="184" t="s">
        <v>194</v>
      </c>
      <c r="T99" s="184" t="s">
        <v>195</v>
      </c>
    </row>
    <row r="100" spans="1:20">
      <c r="A100" s="182">
        <v>43907</v>
      </c>
      <c r="B100" s="183">
        <v>0.47296296296296297</v>
      </c>
      <c r="C100" s="184" t="s">
        <v>73</v>
      </c>
      <c r="D100" s="184" t="s">
        <v>68</v>
      </c>
      <c r="E100" s="184" t="s">
        <v>96</v>
      </c>
      <c r="F100" s="182">
        <v>43932</v>
      </c>
      <c r="G100" s="186" t="s">
        <v>99</v>
      </c>
      <c r="H100" s="184" t="s">
        <v>191</v>
      </c>
      <c r="T100" s="184" t="s">
        <v>196</v>
      </c>
    </row>
    <row r="101" spans="1:20">
      <c r="A101" s="182">
        <v>43907</v>
      </c>
      <c r="B101" s="183">
        <v>0.61692129629629633</v>
      </c>
      <c r="C101" s="184" t="s">
        <v>73</v>
      </c>
      <c r="D101" s="184" t="s">
        <v>68</v>
      </c>
      <c r="E101" s="184" t="s">
        <v>96</v>
      </c>
      <c r="F101" s="182">
        <v>43932</v>
      </c>
      <c r="G101" s="186" t="s">
        <v>94</v>
      </c>
      <c r="H101" s="184" t="s">
        <v>194</v>
      </c>
      <c r="T101" s="184" t="s">
        <v>197</v>
      </c>
    </row>
    <row r="102" spans="1:20">
      <c r="A102" s="182">
        <v>43908</v>
      </c>
      <c r="B102" s="183">
        <v>0.38821759259259259</v>
      </c>
      <c r="C102" s="184" t="s">
        <v>67</v>
      </c>
      <c r="D102" s="184" t="s">
        <v>68</v>
      </c>
      <c r="E102" s="184" t="s">
        <v>96</v>
      </c>
      <c r="F102" s="182">
        <v>43932</v>
      </c>
      <c r="G102" s="186" t="s">
        <v>94</v>
      </c>
      <c r="H102" s="184" t="s">
        <v>198</v>
      </c>
      <c r="T102" s="184" t="s">
        <v>199</v>
      </c>
    </row>
    <row r="103" spans="1:20">
      <c r="A103" s="182">
        <v>43908</v>
      </c>
      <c r="B103" s="183">
        <v>0.40997685185185184</v>
      </c>
      <c r="C103" s="184" t="s">
        <v>67</v>
      </c>
      <c r="D103" s="184" t="s">
        <v>68</v>
      </c>
      <c r="E103" s="184" t="s">
        <v>96</v>
      </c>
      <c r="F103" s="182">
        <v>43932</v>
      </c>
      <c r="G103" s="186" t="s">
        <v>200</v>
      </c>
      <c r="H103" s="184" t="s">
        <v>201</v>
      </c>
      <c r="T103" s="184" t="s">
        <v>147</v>
      </c>
    </row>
    <row r="104" spans="1:20">
      <c r="A104" s="182">
        <v>43908</v>
      </c>
      <c r="B104" s="183">
        <v>0.53179398148148149</v>
      </c>
      <c r="C104" s="184" t="s">
        <v>67</v>
      </c>
      <c r="D104" s="184" t="s">
        <v>91</v>
      </c>
      <c r="E104" s="184" t="s">
        <v>96</v>
      </c>
      <c r="F104" s="182">
        <v>43981</v>
      </c>
      <c r="G104" s="186" t="s">
        <v>94</v>
      </c>
      <c r="H104" s="184" t="s">
        <v>92</v>
      </c>
    </row>
    <row r="105" spans="1:20">
      <c r="A105" s="182">
        <v>43908</v>
      </c>
      <c r="B105" s="183">
        <v>0.67334490740740749</v>
      </c>
      <c r="C105" s="184" t="s">
        <v>67</v>
      </c>
      <c r="D105" s="184" t="s">
        <v>68</v>
      </c>
      <c r="E105" s="184" t="s">
        <v>96</v>
      </c>
      <c r="F105" s="182">
        <v>43932</v>
      </c>
      <c r="G105" s="186" t="s">
        <v>94</v>
      </c>
      <c r="H105" s="184" t="s">
        <v>202</v>
      </c>
      <c r="T105" s="184" t="s">
        <v>203</v>
      </c>
    </row>
    <row r="106" spans="1:20">
      <c r="A106" s="182">
        <v>43908</v>
      </c>
      <c r="B106" s="183">
        <v>0.68825231481481486</v>
      </c>
      <c r="C106" s="184" t="s">
        <v>67</v>
      </c>
      <c r="D106" s="184" t="s">
        <v>68</v>
      </c>
      <c r="E106" s="184" t="s">
        <v>204</v>
      </c>
      <c r="F106" s="182">
        <v>43993</v>
      </c>
      <c r="G106" s="186" t="s">
        <v>70</v>
      </c>
      <c r="H106" s="184" t="s">
        <v>71</v>
      </c>
      <c r="T106" s="184" t="s">
        <v>203</v>
      </c>
    </row>
    <row r="107" spans="1:20">
      <c r="A107" s="182">
        <v>43909</v>
      </c>
      <c r="B107" s="183">
        <v>0.39788194444444441</v>
      </c>
      <c r="C107" s="184" t="s">
        <v>67</v>
      </c>
      <c r="D107" s="184" t="s">
        <v>68</v>
      </c>
      <c r="E107" s="184" t="s">
        <v>96</v>
      </c>
      <c r="F107" s="182">
        <v>43932</v>
      </c>
      <c r="G107" s="186" t="s">
        <v>94</v>
      </c>
      <c r="H107" s="184" t="s">
        <v>205</v>
      </c>
      <c r="T107" s="184" t="s">
        <v>147</v>
      </c>
    </row>
    <row r="108" spans="1:20">
      <c r="A108" s="182">
        <v>43909</v>
      </c>
      <c r="B108" s="183">
        <v>0.56027777777777776</v>
      </c>
      <c r="C108" s="184" t="s">
        <v>73</v>
      </c>
      <c r="D108" s="184" t="s">
        <v>68</v>
      </c>
      <c r="E108" s="184" t="s">
        <v>19</v>
      </c>
      <c r="F108" s="182">
        <v>43945</v>
      </c>
      <c r="G108" s="186" t="s">
        <v>94</v>
      </c>
      <c r="H108" s="184" t="s">
        <v>206</v>
      </c>
      <c r="T108" s="184" t="s">
        <v>207</v>
      </c>
    </row>
    <row r="109" spans="1:20">
      <c r="A109" s="182">
        <v>43909</v>
      </c>
      <c r="B109" s="183">
        <v>0.62174768518518519</v>
      </c>
      <c r="C109" s="184" t="s">
        <v>67</v>
      </c>
      <c r="D109" s="184" t="s">
        <v>78</v>
      </c>
      <c r="E109" s="184" t="s">
        <v>19</v>
      </c>
      <c r="F109" s="182">
        <v>43945</v>
      </c>
      <c r="G109" s="186" t="s">
        <v>94</v>
      </c>
      <c r="H109" s="184" t="s">
        <v>208</v>
      </c>
    </row>
    <row r="110" spans="1:20">
      <c r="A110" s="182">
        <v>43913</v>
      </c>
      <c r="B110" s="183">
        <v>0.4989467592592593</v>
      </c>
      <c r="C110" s="184" t="s">
        <v>73</v>
      </c>
      <c r="D110" s="184" t="s">
        <v>68</v>
      </c>
      <c r="E110" s="184" t="s">
        <v>19</v>
      </c>
      <c r="F110" s="182">
        <v>43945</v>
      </c>
      <c r="G110" s="186" t="s">
        <v>94</v>
      </c>
      <c r="H110" s="184" t="s">
        <v>209</v>
      </c>
      <c r="T110" s="184" t="s">
        <v>210</v>
      </c>
    </row>
    <row r="111" spans="1:20">
      <c r="A111" s="182">
        <v>43913</v>
      </c>
      <c r="B111" s="183">
        <v>0.57461805555555556</v>
      </c>
      <c r="C111" s="184" t="s">
        <v>73</v>
      </c>
      <c r="D111" s="184" t="s">
        <v>91</v>
      </c>
      <c r="E111" s="184" t="s">
        <v>89</v>
      </c>
      <c r="F111" s="182">
        <v>43973</v>
      </c>
      <c r="G111" s="186" t="s">
        <v>70</v>
      </c>
      <c r="H111" s="184" t="s">
        <v>93</v>
      </c>
    </row>
    <row r="112" spans="1:20">
      <c r="A112" s="182">
        <v>43913</v>
      </c>
      <c r="B112" s="183">
        <v>0.66500000000000004</v>
      </c>
      <c r="C112" s="184" t="s">
        <v>73</v>
      </c>
      <c r="D112" s="184" t="s">
        <v>68</v>
      </c>
      <c r="E112" s="184" t="s">
        <v>96</v>
      </c>
      <c r="F112" s="182">
        <v>43932</v>
      </c>
      <c r="G112" s="186" t="s">
        <v>99</v>
      </c>
      <c r="H112" s="184" t="s">
        <v>202</v>
      </c>
      <c r="T112" s="184" t="s">
        <v>211</v>
      </c>
    </row>
    <row r="113" spans="1:20">
      <c r="A113" s="182">
        <v>43913</v>
      </c>
      <c r="B113" s="183">
        <v>0.66614583333333333</v>
      </c>
      <c r="C113" s="184" t="s">
        <v>73</v>
      </c>
      <c r="D113" s="184" t="s">
        <v>68</v>
      </c>
      <c r="E113" s="184" t="s">
        <v>96</v>
      </c>
      <c r="F113" s="182">
        <v>43932</v>
      </c>
      <c r="G113" s="186" t="s">
        <v>99</v>
      </c>
      <c r="H113" s="184" t="s">
        <v>201</v>
      </c>
      <c r="T113" s="184" t="s">
        <v>212</v>
      </c>
    </row>
    <row r="114" spans="1:20">
      <c r="A114" s="182">
        <v>43914</v>
      </c>
      <c r="B114" s="183">
        <v>0.38472222222222219</v>
      </c>
      <c r="C114" s="184" t="s">
        <v>73</v>
      </c>
      <c r="D114" s="184" t="s">
        <v>68</v>
      </c>
      <c r="E114" s="184" t="s">
        <v>19</v>
      </c>
      <c r="F114" s="182">
        <v>43945</v>
      </c>
      <c r="G114" s="186" t="s">
        <v>114</v>
      </c>
      <c r="H114" s="184" t="s">
        <v>213</v>
      </c>
      <c r="T114" s="184" t="s">
        <v>214</v>
      </c>
    </row>
    <row r="115" spans="1:20">
      <c r="A115" s="182">
        <v>43914</v>
      </c>
      <c r="B115" s="183">
        <v>0.4598842592592593</v>
      </c>
      <c r="C115" s="184" t="s">
        <v>73</v>
      </c>
      <c r="D115" s="184" t="s">
        <v>159</v>
      </c>
      <c r="E115" s="184" t="s">
        <v>19</v>
      </c>
      <c r="F115" s="182">
        <v>43945</v>
      </c>
      <c r="G115" s="186" t="s">
        <v>70</v>
      </c>
      <c r="H115" s="184" t="s">
        <v>215</v>
      </c>
    </row>
    <row r="116" spans="1:20">
      <c r="A116" s="182">
        <v>43914</v>
      </c>
      <c r="B116" s="183">
        <v>0.46047453703703706</v>
      </c>
      <c r="C116" s="184" t="s">
        <v>73</v>
      </c>
      <c r="D116" s="184" t="s">
        <v>159</v>
      </c>
      <c r="E116" s="184" t="s">
        <v>95</v>
      </c>
      <c r="F116" s="182">
        <v>43959</v>
      </c>
      <c r="G116" s="186" t="s">
        <v>70</v>
      </c>
      <c r="H116" s="184" t="s">
        <v>216</v>
      </c>
    </row>
    <row r="117" spans="1:20">
      <c r="A117" s="182">
        <v>43914</v>
      </c>
      <c r="B117" s="183">
        <v>0.52714120370370365</v>
      </c>
      <c r="C117" s="184" t="s">
        <v>67</v>
      </c>
      <c r="D117" s="184" t="s">
        <v>68</v>
      </c>
      <c r="E117" s="184" t="s">
        <v>96</v>
      </c>
      <c r="F117" s="182">
        <v>43932</v>
      </c>
      <c r="G117" s="186" t="s">
        <v>94</v>
      </c>
      <c r="H117" s="184" t="s">
        <v>202</v>
      </c>
      <c r="T117" s="184" t="s">
        <v>217</v>
      </c>
    </row>
    <row r="118" spans="1:20">
      <c r="A118" s="182">
        <v>43914</v>
      </c>
      <c r="B118" s="183">
        <v>0.53243055555555563</v>
      </c>
      <c r="C118" s="184" t="s">
        <v>67</v>
      </c>
      <c r="D118" s="184" t="s">
        <v>91</v>
      </c>
      <c r="E118" s="184" t="s">
        <v>96</v>
      </c>
      <c r="F118" s="182">
        <v>43932</v>
      </c>
      <c r="G118" s="186" t="s">
        <v>99</v>
      </c>
      <c r="H118" s="184" t="s">
        <v>218</v>
      </c>
    </row>
    <row r="119" spans="1:20">
      <c r="A119" s="182">
        <v>43914</v>
      </c>
      <c r="B119" s="183">
        <v>0.53621527777777778</v>
      </c>
      <c r="C119" s="184" t="s">
        <v>67</v>
      </c>
      <c r="D119" s="184" t="s">
        <v>68</v>
      </c>
      <c r="E119" s="184" t="s">
        <v>96</v>
      </c>
      <c r="F119" s="182">
        <v>43932</v>
      </c>
      <c r="G119" s="186" t="s">
        <v>94</v>
      </c>
      <c r="H119" s="184" t="s">
        <v>205</v>
      </c>
      <c r="T119" s="184" t="s">
        <v>219</v>
      </c>
    </row>
    <row r="120" spans="1:20">
      <c r="A120" s="182">
        <v>43914</v>
      </c>
      <c r="B120" s="183">
        <v>0.57035879629629627</v>
      </c>
      <c r="C120" s="184" t="s">
        <v>67</v>
      </c>
      <c r="D120" s="184" t="s">
        <v>68</v>
      </c>
      <c r="E120" s="184" t="s">
        <v>85</v>
      </c>
      <c r="F120" s="182">
        <v>43948</v>
      </c>
      <c r="G120" s="186" t="s">
        <v>94</v>
      </c>
      <c r="H120" s="184" t="s">
        <v>76</v>
      </c>
      <c r="T120" s="184" t="s">
        <v>220</v>
      </c>
    </row>
    <row r="121" spans="1:20">
      <c r="A121" s="182">
        <v>43914</v>
      </c>
      <c r="B121" s="183">
        <v>0.59250000000000003</v>
      </c>
      <c r="C121" s="184" t="s">
        <v>73</v>
      </c>
      <c r="D121" s="184" t="s">
        <v>68</v>
      </c>
      <c r="E121" s="184" t="s">
        <v>96</v>
      </c>
      <c r="F121" s="182">
        <v>43932</v>
      </c>
      <c r="G121" s="186" t="s">
        <v>99</v>
      </c>
      <c r="H121" s="184" t="s">
        <v>202</v>
      </c>
      <c r="T121" s="184" t="s">
        <v>221</v>
      </c>
    </row>
    <row r="122" spans="1:20">
      <c r="A122" s="182">
        <v>43914</v>
      </c>
      <c r="B122" s="183">
        <v>0.59417824074074077</v>
      </c>
      <c r="C122" s="184" t="s">
        <v>73</v>
      </c>
      <c r="D122" s="184" t="s">
        <v>68</v>
      </c>
      <c r="E122" s="184" t="s">
        <v>204</v>
      </c>
      <c r="F122" s="182">
        <v>43993</v>
      </c>
      <c r="G122" s="186" t="s">
        <v>99</v>
      </c>
      <c r="H122" s="184" t="s">
        <v>222</v>
      </c>
      <c r="T122" s="184" t="s">
        <v>221</v>
      </c>
    </row>
    <row r="123" spans="1:20">
      <c r="A123" s="182">
        <v>43914</v>
      </c>
      <c r="B123" s="183">
        <v>0.59537037037037044</v>
      </c>
      <c r="C123" s="184" t="s">
        <v>73</v>
      </c>
      <c r="D123" s="184" t="s">
        <v>68</v>
      </c>
      <c r="E123" s="184" t="s">
        <v>204</v>
      </c>
      <c r="F123" s="182">
        <v>44112</v>
      </c>
      <c r="G123" s="186" t="s">
        <v>70</v>
      </c>
      <c r="H123" s="184" t="s">
        <v>71</v>
      </c>
      <c r="T123" s="184" t="s">
        <v>221</v>
      </c>
    </row>
    <row r="124" spans="1:20">
      <c r="A124" s="182">
        <v>43914</v>
      </c>
      <c r="B124" s="183">
        <v>0.59655092592592596</v>
      </c>
      <c r="C124" s="184" t="s">
        <v>73</v>
      </c>
      <c r="D124" s="184" t="s">
        <v>68</v>
      </c>
      <c r="E124" s="184" t="s">
        <v>45</v>
      </c>
      <c r="F124" s="182">
        <v>43994</v>
      </c>
      <c r="G124" s="186" t="s">
        <v>94</v>
      </c>
      <c r="H124" s="184" t="s">
        <v>101</v>
      </c>
      <c r="T124" s="184" t="s">
        <v>221</v>
      </c>
    </row>
    <row r="125" spans="1:20">
      <c r="A125" s="182">
        <v>43914</v>
      </c>
      <c r="B125" s="183">
        <v>0.59715277777777775</v>
      </c>
      <c r="C125" s="184" t="s">
        <v>73</v>
      </c>
      <c r="D125" s="184" t="s">
        <v>68</v>
      </c>
      <c r="E125" s="184" t="s">
        <v>124</v>
      </c>
      <c r="F125" s="182">
        <v>44029</v>
      </c>
      <c r="G125" s="186" t="s">
        <v>94</v>
      </c>
      <c r="H125" s="184" t="s">
        <v>190</v>
      </c>
      <c r="T125" s="184" t="s">
        <v>221</v>
      </c>
    </row>
    <row r="126" spans="1:20">
      <c r="A126" s="182">
        <v>43914</v>
      </c>
      <c r="B126" s="183">
        <v>0.61621527777777774</v>
      </c>
      <c r="C126" s="184" t="s">
        <v>73</v>
      </c>
      <c r="D126" s="184" t="s">
        <v>68</v>
      </c>
      <c r="E126" s="184" t="s">
        <v>96</v>
      </c>
      <c r="F126" s="182">
        <v>43932</v>
      </c>
      <c r="G126" s="186" t="s">
        <v>99</v>
      </c>
      <c r="H126" s="184" t="s">
        <v>201</v>
      </c>
      <c r="T126" s="184" t="s">
        <v>223</v>
      </c>
    </row>
    <row r="127" spans="1:20">
      <c r="A127" s="182">
        <v>43914</v>
      </c>
      <c r="B127" s="183">
        <v>0.63247685185185187</v>
      </c>
      <c r="C127" s="184" t="s">
        <v>67</v>
      </c>
      <c r="D127" s="184" t="s">
        <v>78</v>
      </c>
      <c r="E127" s="184" t="s">
        <v>19</v>
      </c>
      <c r="F127" s="182">
        <v>43945</v>
      </c>
      <c r="G127" s="186" t="s">
        <v>114</v>
      </c>
      <c r="H127" s="184" t="s">
        <v>224</v>
      </c>
    </row>
    <row r="128" spans="1:20">
      <c r="A128" s="182">
        <v>43915</v>
      </c>
      <c r="B128" s="183">
        <v>0.38615740740740739</v>
      </c>
      <c r="C128" s="184" t="s">
        <v>67</v>
      </c>
      <c r="D128" s="184" t="s">
        <v>68</v>
      </c>
      <c r="E128" s="184" t="s">
        <v>19</v>
      </c>
      <c r="F128" s="182">
        <v>43945</v>
      </c>
      <c r="G128" s="186" t="s">
        <v>94</v>
      </c>
      <c r="H128" s="184" t="s">
        <v>225</v>
      </c>
      <c r="T128" s="184" t="s">
        <v>226</v>
      </c>
    </row>
    <row r="129" spans="1:20">
      <c r="A129" s="182">
        <v>43915</v>
      </c>
      <c r="B129" s="183">
        <v>0.42557870370370371</v>
      </c>
      <c r="C129" s="184" t="s">
        <v>67</v>
      </c>
      <c r="D129" s="184" t="s">
        <v>91</v>
      </c>
      <c r="E129" s="184" t="s">
        <v>96</v>
      </c>
      <c r="F129" s="182">
        <v>43932</v>
      </c>
      <c r="G129" s="186" t="s">
        <v>99</v>
      </c>
      <c r="H129" s="184" t="s">
        <v>189</v>
      </c>
    </row>
    <row r="130" spans="1:20">
      <c r="A130" s="182">
        <v>43915</v>
      </c>
      <c r="B130" s="183">
        <v>0.42568287037037034</v>
      </c>
      <c r="C130" s="184" t="s">
        <v>67</v>
      </c>
      <c r="D130" s="184" t="s">
        <v>91</v>
      </c>
      <c r="E130" s="184" t="s">
        <v>96</v>
      </c>
      <c r="F130" s="182">
        <v>43981</v>
      </c>
      <c r="G130" s="186" t="s">
        <v>94</v>
      </c>
      <c r="H130" s="184" t="s">
        <v>227</v>
      </c>
    </row>
    <row r="131" spans="1:20">
      <c r="A131" s="182">
        <v>43915</v>
      </c>
      <c r="B131" s="183">
        <v>0.47327546296296297</v>
      </c>
      <c r="C131" s="184" t="s">
        <v>67</v>
      </c>
      <c r="D131" s="184" t="s">
        <v>159</v>
      </c>
      <c r="E131" s="184" t="s">
        <v>96</v>
      </c>
      <c r="F131" s="182">
        <v>43932</v>
      </c>
      <c r="G131" s="186" t="s">
        <v>70</v>
      </c>
      <c r="H131" s="184" t="s">
        <v>216</v>
      </c>
    </row>
    <row r="132" spans="1:20">
      <c r="A132" s="182">
        <v>43916</v>
      </c>
      <c r="B132" s="183">
        <v>0.40187499999999998</v>
      </c>
      <c r="C132" s="184" t="s">
        <v>67</v>
      </c>
      <c r="D132" s="184" t="s">
        <v>159</v>
      </c>
      <c r="E132" s="184" t="s">
        <v>19</v>
      </c>
      <c r="F132" s="182">
        <v>43945</v>
      </c>
      <c r="G132" s="186" t="s">
        <v>94</v>
      </c>
      <c r="H132" s="184" t="s">
        <v>228</v>
      </c>
    </row>
    <row r="133" spans="1:20">
      <c r="A133" s="182">
        <v>43916</v>
      </c>
      <c r="B133" s="183">
        <v>0.40206018518518521</v>
      </c>
      <c r="C133" s="184" t="s">
        <v>67</v>
      </c>
      <c r="D133" s="184" t="s">
        <v>159</v>
      </c>
      <c r="E133" s="184" t="s">
        <v>95</v>
      </c>
      <c r="F133" s="182">
        <v>43959</v>
      </c>
      <c r="G133" s="186" t="s">
        <v>94</v>
      </c>
      <c r="H133" s="184" t="s">
        <v>215</v>
      </c>
    </row>
    <row r="134" spans="1:20">
      <c r="A134" s="182">
        <v>43916</v>
      </c>
      <c r="B134" s="183">
        <v>0.62681712962962965</v>
      </c>
      <c r="C134" s="184" t="s">
        <v>67</v>
      </c>
      <c r="D134" s="184" t="s">
        <v>91</v>
      </c>
      <c r="E134" s="184" t="s">
        <v>96</v>
      </c>
      <c r="F134" s="182">
        <v>43932</v>
      </c>
      <c r="G134" s="186" t="s">
        <v>99</v>
      </c>
      <c r="H134" s="184" t="s">
        <v>229</v>
      </c>
    </row>
    <row r="135" spans="1:20">
      <c r="A135" s="182">
        <v>43917</v>
      </c>
      <c r="B135" s="183">
        <v>0.41158564814814813</v>
      </c>
      <c r="C135" s="184" t="s">
        <v>73</v>
      </c>
      <c r="D135" s="184" t="s">
        <v>68</v>
      </c>
      <c r="E135" s="184" t="s">
        <v>45</v>
      </c>
      <c r="F135" s="182">
        <v>43994</v>
      </c>
      <c r="G135" s="186" t="s">
        <v>94</v>
      </c>
      <c r="H135" s="184" t="s">
        <v>103</v>
      </c>
      <c r="T135" s="184" t="s">
        <v>230</v>
      </c>
    </row>
    <row r="136" spans="1:20">
      <c r="A136" s="182">
        <v>43917</v>
      </c>
      <c r="B136" s="183">
        <v>0.53034722222222219</v>
      </c>
      <c r="C136" s="184" t="s">
        <v>73</v>
      </c>
      <c r="D136" s="184" t="s">
        <v>68</v>
      </c>
      <c r="E136" s="184" t="s">
        <v>19</v>
      </c>
      <c r="F136" s="182">
        <v>43945</v>
      </c>
      <c r="G136" s="186" t="s">
        <v>94</v>
      </c>
      <c r="H136" s="184" t="s">
        <v>231</v>
      </c>
      <c r="T136" s="184" t="s">
        <v>232</v>
      </c>
    </row>
    <row r="137" spans="1:20">
      <c r="A137" s="182">
        <v>43917</v>
      </c>
      <c r="B137" s="183">
        <v>0.54407407407407404</v>
      </c>
      <c r="C137" s="184" t="s">
        <v>73</v>
      </c>
      <c r="D137" s="184" t="s">
        <v>78</v>
      </c>
      <c r="E137" s="184" t="s">
        <v>69</v>
      </c>
      <c r="F137" s="182">
        <v>43941</v>
      </c>
      <c r="G137" s="186" t="s">
        <v>99</v>
      </c>
      <c r="H137" s="184" t="s">
        <v>233</v>
      </c>
    </row>
    <row r="138" spans="1:20">
      <c r="A138" s="182">
        <v>43917</v>
      </c>
      <c r="B138" s="183">
        <v>0.54421296296296295</v>
      </c>
      <c r="C138" s="184" t="s">
        <v>73</v>
      </c>
      <c r="D138" s="184" t="s">
        <v>78</v>
      </c>
      <c r="E138" s="184" t="s">
        <v>69</v>
      </c>
      <c r="F138" s="182">
        <v>43978</v>
      </c>
      <c r="G138" s="186" t="s">
        <v>70</v>
      </c>
      <c r="H138" s="184" t="s">
        <v>86</v>
      </c>
    </row>
    <row r="139" spans="1:20">
      <c r="A139" s="182">
        <v>43917</v>
      </c>
      <c r="B139" s="183">
        <v>0.54565972222222225</v>
      </c>
      <c r="C139" s="184" t="s">
        <v>73</v>
      </c>
      <c r="D139" s="184" t="s">
        <v>78</v>
      </c>
      <c r="E139" s="184" t="s">
        <v>96</v>
      </c>
      <c r="F139" s="182">
        <v>43932</v>
      </c>
      <c r="G139" s="186" t="s">
        <v>94</v>
      </c>
      <c r="H139" s="184" t="s">
        <v>113</v>
      </c>
    </row>
    <row r="140" spans="1:20">
      <c r="A140" s="182">
        <v>43917</v>
      </c>
      <c r="B140" s="183">
        <v>0.54590277777777774</v>
      </c>
      <c r="C140" s="184" t="s">
        <v>73</v>
      </c>
      <c r="D140" s="184" t="s">
        <v>78</v>
      </c>
      <c r="E140" s="184" t="s">
        <v>96</v>
      </c>
      <c r="F140" s="182">
        <v>43932</v>
      </c>
      <c r="G140" s="186" t="s">
        <v>99</v>
      </c>
      <c r="H140" s="184" t="s">
        <v>106</v>
      </c>
    </row>
    <row r="141" spans="1:20">
      <c r="A141" s="182">
        <v>43917</v>
      </c>
      <c r="B141" s="183">
        <v>0.69156249999999997</v>
      </c>
      <c r="C141" s="184" t="s">
        <v>73</v>
      </c>
      <c r="D141" s="184" t="s">
        <v>68</v>
      </c>
      <c r="E141" s="184" t="s">
        <v>124</v>
      </c>
      <c r="F141" s="182">
        <v>44029</v>
      </c>
      <c r="G141" s="186" t="s">
        <v>94</v>
      </c>
      <c r="H141" s="184" t="s">
        <v>206</v>
      </c>
      <c r="T141" s="184" t="s">
        <v>234</v>
      </c>
    </row>
    <row r="142" spans="1:20">
      <c r="A142" s="182">
        <v>43917</v>
      </c>
      <c r="B142" s="183">
        <v>0.69751157407407405</v>
      </c>
      <c r="C142" s="184" t="s">
        <v>73</v>
      </c>
      <c r="D142" s="184" t="s">
        <v>68</v>
      </c>
      <c r="E142" s="184" t="s">
        <v>124</v>
      </c>
      <c r="F142" s="182">
        <v>44148</v>
      </c>
      <c r="G142" s="186" t="s">
        <v>70</v>
      </c>
      <c r="H142" s="184" t="s">
        <v>71</v>
      </c>
      <c r="T142" s="184" t="s">
        <v>234</v>
      </c>
    </row>
    <row r="143" spans="1:20">
      <c r="A143" s="182">
        <v>43917</v>
      </c>
      <c r="B143" s="183">
        <v>0.69931712962962955</v>
      </c>
      <c r="C143" s="184" t="s">
        <v>73</v>
      </c>
      <c r="D143" s="184" t="s">
        <v>68</v>
      </c>
      <c r="E143" s="184" t="s">
        <v>19</v>
      </c>
      <c r="F143" s="182">
        <v>44000</v>
      </c>
      <c r="G143" s="186" t="s">
        <v>94</v>
      </c>
      <c r="H143" s="184" t="s">
        <v>76</v>
      </c>
      <c r="T143" s="184" t="s">
        <v>234</v>
      </c>
    </row>
    <row r="144" spans="1:20">
      <c r="A144" s="182">
        <v>43917</v>
      </c>
      <c r="B144" s="183">
        <v>0.69981481481481478</v>
      </c>
      <c r="C144" s="184" t="s">
        <v>73</v>
      </c>
      <c r="D144" s="184" t="s">
        <v>68</v>
      </c>
      <c r="E144" s="184" t="s">
        <v>96</v>
      </c>
      <c r="F144" s="182">
        <v>44025</v>
      </c>
      <c r="G144" s="186" t="s">
        <v>70</v>
      </c>
      <c r="H144" s="184" t="s">
        <v>71</v>
      </c>
      <c r="T144" s="184" t="s">
        <v>234</v>
      </c>
    </row>
    <row r="145" spans="1:20">
      <c r="A145" s="182">
        <v>43920</v>
      </c>
      <c r="B145" s="183">
        <v>0.39576388888888886</v>
      </c>
      <c r="C145" s="184" t="s">
        <v>67</v>
      </c>
      <c r="D145" s="184" t="s">
        <v>68</v>
      </c>
      <c r="E145" s="184" t="s">
        <v>85</v>
      </c>
      <c r="F145" s="182">
        <v>43948</v>
      </c>
      <c r="G145" s="186" t="s">
        <v>114</v>
      </c>
      <c r="H145" s="184" t="s">
        <v>101</v>
      </c>
      <c r="T145" s="184" t="s">
        <v>235</v>
      </c>
    </row>
    <row r="146" spans="1:20">
      <c r="A146" s="182">
        <v>43920</v>
      </c>
      <c r="B146" s="183">
        <v>0.40025462962962965</v>
      </c>
      <c r="C146" s="184" t="s">
        <v>67</v>
      </c>
      <c r="D146" s="184" t="s">
        <v>78</v>
      </c>
      <c r="E146" s="184" t="s">
        <v>45</v>
      </c>
      <c r="F146" s="182">
        <v>43967</v>
      </c>
      <c r="G146" s="186" t="s">
        <v>94</v>
      </c>
      <c r="H146" s="184" t="s">
        <v>98</v>
      </c>
    </row>
    <row r="147" spans="1:20">
      <c r="A147" s="182">
        <v>43920</v>
      </c>
      <c r="B147" s="183">
        <v>0.40097222222222223</v>
      </c>
      <c r="C147" s="184" t="s">
        <v>67</v>
      </c>
      <c r="D147" s="184" t="s">
        <v>78</v>
      </c>
      <c r="E147" s="184" t="s">
        <v>96</v>
      </c>
      <c r="F147" s="182">
        <v>43932</v>
      </c>
      <c r="G147" s="186" t="s">
        <v>99</v>
      </c>
      <c r="H147" s="184" t="s">
        <v>107</v>
      </c>
    </row>
    <row r="148" spans="1:20">
      <c r="A148" s="182">
        <v>43920</v>
      </c>
      <c r="B148" s="183">
        <v>0.4012384259259259</v>
      </c>
      <c r="C148" s="184" t="s">
        <v>67</v>
      </c>
      <c r="D148" s="184" t="s">
        <v>78</v>
      </c>
      <c r="E148" s="184" t="s">
        <v>96</v>
      </c>
      <c r="F148" s="182">
        <v>43981</v>
      </c>
      <c r="G148" s="186" t="s">
        <v>94</v>
      </c>
      <c r="H148" s="184" t="s">
        <v>113</v>
      </c>
    </row>
    <row r="149" spans="1:20">
      <c r="A149" s="182">
        <v>43920</v>
      </c>
      <c r="B149" s="183">
        <v>0.40846064814814814</v>
      </c>
      <c r="C149" s="184" t="s">
        <v>67</v>
      </c>
      <c r="D149" s="184" t="s">
        <v>68</v>
      </c>
      <c r="E149" s="184" t="s">
        <v>85</v>
      </c>
      <c r="F149" s="182">
        <v>43948</v>
      </c>
      <c r="G149" s="186" t="s">
        <v>99</v>
      </c>
      <c r="H149" s="184" t="s">
        <v>87</v>
      </c>
      <c r="T149" s="184" t="s">
        <v>235</v>
      </c>
    </row>
    <row r="150" spans="1:20">
      <c r="A150" s="182">
        <v>43920</v>
      </c>
      <c r="B150" s="183">
        <v>0.5765393518518519</v>
      </c>
      <c r="C150" s="184" t="s">
        <v>67</v>
      </c>
      <c r="D150" s="184" t="s">
        <v>68</v>
      </c>
      <c r="E150" s="184" t="s">
        <v>96</v>
      </c>
      <c r="F150" s="182">
        <v>43932</v>
      </c>
      <c r="G150" s="186" t="s">
        <v>236</v>
      </c>
      <c r="H150" s="184" t="s">
        <v>237</v>
      </c>
      <c r="T150" s="184" t="s">
        <v>118</v>
      </c>
    </row>
    <row r="151" spans="1:20">
      <c r="A151" s="182">
        <v>43920</v>
      </c>
      <c r="B151" s="183">
        <v>0.57785879629629633</v>
      </c>
      <c r="C151" s="184" t="s">
        <v>67</v>
      </c>
      <c r="D151" s="184" t="s">
        <v>68</v>
      </c>
      <c r="E151" s="184" t="s">
        <v>19</v>
      </c>
      <c r="F151" s="182">
        <v>43945</v>
      </c>
      <c r="G151" s="186" t="s">
        <v>115</v>
      </c>
      <c r="H151" s="184" t="s">
        <v>213</v>
      </c>
      <c r="T151" s="184" t="s">
        <v>118</v>
      </c>
    </row>
    <row r="152" spans="1:20">
      <c r="A152" s="182">
        <v>43920</v>
      </c>
      <c r="B152" s="183">
        <v>0.57938657407407412</v>
      </c>
      <c r="C152" s="184" t="s">
        <v>67</v>
      </c>
      <c r="D152" s="184" t="s">
        <v>68</v>
      </c>
      <c r="E152" s="184" t="s">
        <v>89</v>
      </c>
      <c r="F152" s="182">
        <v>43973</v>
      </c>
      <c r="G152" s="186" t="s">
        <v>238</v>
      </c>
      <c r="H152" s="184" t="s">
        <v>76</v>
      </c>
      <c r="T152" s="184" t="s">
        <v>118</v>
      </c>
    </row>
    <row r="153" spans="1:20">
      <c r="A153" s="182">
        <v>43920</v>
      </c>
      <c r="B153" s="183">
        <v>0.61424768518518513</v>
      </c>
      <c r="C153" s="184" t="s">
        <v>67</v>
      </c>
      <c r="D153" s="184" t="s">
        <v>68</v>
      </c>
      <c r="E153" s="184" t="s">
        <v>19</v>
      </c>
      <c r="F153" s="182">
        <v>43945</v>
      </c>
      <c r="G153" s="186" t="s">
        <v>112</v>
      </c>
      <c r="H153" s="184" t="s">
        <v>239</v>
      </c>
      <c r="T153" s="184" t="s">
        <v>240</v>
      </c>
    </row>
    <row r="154" spans="1:20">
      <c r="A154" s="182">
        <v>43921</v>
      </c>
      <c r="B154" s="183">
        <v>0.39327546296296295</v>
      </c>
      <c r="C154" s="184" t="s">
        <v>67</v>
      </c>
      <c r="D154" s="184" t="s">
        <v>78</v>
      </c>
      <c r="E154" s="184" t="s">
        <v>96</v>
      </c>
      <c r="F154" s="182">
        <v>43932</v>
      </c>
      <c r="G154" s="186" t="s">
        <v>94</v>
      </c>
      <c r="H154" s="184" t="s">
        <v>106</v>
      </c>
    </row>
    <row r="155" spans="1:20">
      <c r="A155" s="182">
        <v>43921</v>
      </c>
      <c r="B155" s="183">
        <v>0.43642361111111111</v>
      </c>
      <c r="C155" s="184" t="s">
        <v>73</v>
      </c>
      <c r="D155" s="184" t="s">
        <v>68</v>
      </c>
      <c r="E155" s="184" t="s">
        <v>19</v>
      </c>
      <c r="F155" s="182">
        <v>43945</v>
      </c>
      <c r="G155" s="186" t="s">
        <v>94</v>
      </c>
      <c r="H155" s="184" t="s">
        <v>241</v>
      </c>
      <c r="T155" s="184" t="s">
        <v>226</v>
      </c>
    </row>
    <row r="156" spans="1:20">
      <c r="A156" s="182">
        <v>43921</v>
      </c>
      <c r="B156" s="183">
        <v>0.45510416666666664</v>
      </c>
      <c r="C156" s="184" t="s">
        <v>67</v>
      </c>
      <c r="D156" s="184" t="s">
        <v>68</v>
      </c>
      <c r="E156" s="184" t="s">
        <v>69</v>
      </c>
      <c r="F156" s="182">
        <v>43941</v>
      </c>
      <c r="G156" s="186" t="s">
        <v>99</v>
      </c>
      <c r="H156" s="184" t="s">
        <v>222</v>
      </c>
      <c r="T156" s="184" t="s">
        <v>242</v>
      </c>
    </row>
    <row r="157" spans="1:20">
      <c r="A157" s="182">
        <v>43921</v>
      </c>
      <c r="B157" s="183">
        <v>0.45603009259259258</v>
      </c>
      <c r="C157" s="184" t="s">
        <v>67</v>
      </c>
      <c r="D157" s="184" t="s">
        <v>68</v>
      </c>
      <c r="E157" s="184" t="s">
        <v>69</v>
      </c>
      <c r="F157" s="182">
        <v>44001</v>
      </c>
      <c r="G157" s="186" t="s">
        <v>94</v>
      </c>
      <c r="H157" s="184" t="s">
        <v>117</v>
      </c>
      <c r="T157" s="184" t="s">
        <v>242</v>
      </c>
    </row>
    <row r="158" spans="1:20">
      <c r="A158" s="182">
        <v>43922</v>
      </c>
      <c r="B158" s="183">
        <v>0.4616319444444445</v>
      </c>
      <c r="C158" s="184" t="s">
        <v>73</v>
      </c>
      <c r="D158" s="184" t="s">
        <v>68</v>
      </c>
      <c r="E158" s="184" t="s">
        <v>96</v>
      </c>
      <c r="F158" s="182">
        <v>43932</v>
      </c>
      <c r="G158" s="186" t="s">
        <v>94</v>
      </c>
      <c r="H158" s="184" t="s">
        <v>243</v>
      </c>
      <c r="T158" s="184" t="s">
        <v>244</v>
      </c>
    </row>
    <row r="159" spans="1:20">
      <c r="A159" s="182">
        <v>43922</v>
      </c>
      <c r="B159" s="183">
        <v>0.56995370370370368</v>
      </c>
      <c r="C159" s="184" t="s">
        <v>73</v>
      </c>
      <c r="D159" s="184" t="s">
        <v>68</v>
      </c>
      <c r="E159" s="184" t="s">
        <v>96</v>
      </c>
      <c r="F159" s="182">
        <v>43932</v>
      </c>
      <c r="G159" s="186" t="s">
        <v>99</v>
      </c>
      <c r="H159" s="184" t="s">
        <v>237</v>
      </c>
      <c r="T159" s="184" t="s">
        <v>244</v>
      </c>
    </row>
    <row r="160" spans="1:20">
      <c r="A160" s="182">
        <v>43923</v>
      </c>
      <c r="B160" s="183">
        <v>0.38349537037037035</v>
      </c>
      <c r="C160" s="184" t="s">
        <v>67</v>
      </c>
      <c r="D160" s="184" t="s">
        <v>68</v>
      </c>
      <c r="E160" s="184" t="s">
        <v>19</v>
      </c>
      <c r="F160" s="182">
        <v>43945</v>
      </c>
      <c r="G160" s="186" t="s">
        <v>94</v>
      </c>
      <c r="H160" s="184" t="s">
        <v>245</v>
      </c>
      <c r="T160" s="184" t="s">
        <v>246</v>
      </c>
    </row>
    <row r="161" spans="1:20">
      <c r="A161" s="182">
        <v>43923</v>
      </c>
      <c r="B161" s="183">
        <v>0.49228009259259259</v>
      </c>
      <c r="C161" s="184" t="s">
        <v>67</v>
      </c>
      <c r="D161" s="184" t="s">
        <v>78</v>
      </c>
      <c r="E161" s="184" t="s">
        <v>19</v>
      </c>
      <c r="F161" s="182">
        <v>44000</v>
      </c>
      <c r="G161" s="186" t="s">
        <v>94</v>
      </c>
      <c r="H161" s="184" t="s">
        <v>106</v>
      </c>
    </row>
    <row r="162" spans="1:20">
      <c r="A162" s="182">
        <v>43923</v>
      </c>
      <c r="B162" s="183">
        <v>0.49246527777777777</v>
      </c>
      <c r="C162" s="184" t="s">
        <v>67</v>
      </c>
      <c r="D162" s="184" t="s">
        <v>78</v>
      </c>
      <c r="E162" s="184" t="s">
        <v>19</v>
      </c>
      <c r="F162" s="182">
        <v>44070</v>
      </c>
      <c r="G162" s="186" t="s">
        <v>94</v>
      </c>
      <c r="H162" s="184" t="s">
        <v>106</v>
      </c>
    </row>
    <row r="163" spans="1:20">
      <c r="A163" s="182">
        <v>43923</v>
      </c>
      <c r="B163" s="183">
        <v>0.49262731481481481</v>
      </c>
      <c r="C163" s="184" t="s">
        <v>67</v>
      </c>
      <c r="D163" s="184" t="s">
        <v>78</v>
      </c>
      <c r="E163" s="184" t="s">
        <v>45</v>
      </c>
      <c r="F163" s="182">
        <v>43994</v>
      </c>
      <c r="G163" s="186" t="s">
        <v>70</v>
      </c>
      <c r="H163" s="184" t="s">
        <v>86</v>
      </c>
    </row>
    <row r="164" spans="1:20">
      <c r="A164" s="182">
        <v>43923</v>
      </c>
      <c r="B164" s="183">
        <v>0.49321759259259257</v>
      </c>
      <c r="C164" s="184" t="s">
        <v>67</v>
      </c>
      <c r="D164" s="184" t="s">
        <v>78</v>
      </c>
      <c r="E164" s="184" t="s">
        <v>45</v>
      </c>
      <c r="F164" s="182">
        <v>44162</v>
      </c>
      <c r="G164" s="186" t="s">
        <v>70</v>
      </c>
      <c r="H164" s="184" t="s">
        <v>86</v>
      </c>
    </row>
    <row r="165" spans="1:20">
      <c r="A165" s="182">
        <v>43924</v>
      </c>
      <c r="B165" s="183">
        <v>0.42995370370370373</v>
      </c>
      <c r="C165" s="184" t="s">
        <v>73</v>
      </c>
      <c r="D165" s="184" t="s">
        <v>68</v>
      </c>
      <c r="E165" s="184" t="s">
        <v>19</v>
      </c>
      <c r="F165" s="182">
        <v>43945</v>
      </c>
      <c r="G165" s="186" t="s">
        <v>99</v>
      </c>
      <c r="H165" s="184" t="s">
        <v>241</v>
      </c>
      <c r="T165" s="184" t="s">
        <v>221</v>
      </c>
    </row>
    <row r="166" spans="1:20">
      <c r="A166" s="182">
        <v>43924</v>
      </c>
      <c r="B166" s="183">
        <v>0.43087962962962961</v>
      </c>
      <c r="C166" s="184" t="s">
        <v>73</v>
      </c>
      <c r="D166" s="184" t="s">
        <v>68</v>
      </c>
      <c r="E166" s="184" t="s">
        <v>96</v>
      </c>
      <c r="F166" s="182">
        <v>43932</v>
      </c>
      <c r="G166" s="186" t="s">
        <v>99</v>
      </c>
      <c r="H166" s="184" t="s">
        <v>247</v>
      </c>
      <c r="T166" s="184" t="s">
        <v>221</v>
      </c>
    </row>
    <row r="167" spans="1:20">
      <c r="A167" s="182">
        <v>43924</v>
      </c>
      <c r="B167" s="183">
        <v>0.4314351851851852</v>
      </c>
      <c r="C167" s="184" t="s">
        <v>73</v>
      </c>
      <c r="D167" s="184" t="s">
        <v>68</v>
      </c>
      <c r="E167" s="184" t="s">
        <v>95</v>
      </c>
      <c r="F167" s="182">
        <v>43959</v>
      </c>
      <c r="G167" s="186" t="s">
        <v>99</v>
      </c>
      <c r="H167" s="184" t="s">
        <v>87</v>
      </c>
      <c r="T167" s="184" t="s">
        <v>221</v>
      </c>
    </row>
    <row r="168" spans="1:20">
      <c r="A168" s="182">
        <v>43924</v>
      </c>
      <c r="B168" s="183">
        <v>0.43569444444444444</v>
      </c>
      <c r="C168" s="184" t="s">
        <v>73</v>
      </c>
      <c r="D168" s="184" t="s">
        <v>68</v>
      </c>
      <c r="E168" s="184" t="s">
        <v>45</v>
      </c>
      <c r="F168" s="182">
        <v>43994</v>
      </c>
      <c r="G168" s="186" t="s">
        <v>99</v>
      </c>
      <c r="H168" s="184" t="s">
        <v>101</v>
      </c>
      <c r="T168" s="184" t="s">
        <v>221</v>
      </c>
    </row>
    <row r="169" spans="1:20">
      <c r="A169" s="182">
        <v>43924</v>
      </c>
      <c r="B169" s="183">
        <v>0.4365046296296296</v>
      </c>
      <c r="C169" s="184" t="s">
        <v>73</v>
      </c>
      <c r="D169" s="184" t="s">
        <v>68</v>
      </c>
      <c r="E169" s="184" t="s">
        <v>204</v>
      </c>
      <c r="F169" s="182">
        <v>44112</v>
      </c>
      <c r="G169" s="186" t="s">
        <v>99</v>
      </c>
      <c r="H169" s="184" t="s">
        <v>222</v>
      </c>
      <c r="T169" s="184" t="s">
        <v>221</v>
      </c>
    </row>
    <row r="170" spans="1:20">
      <c r="A170" s="182">
        <v>43924</v>
      </c>
      <c r="B170" s="183">
        <v>0.4375</v>
      </c>
      <c r="C170" s="184" t="s">
        <v>73</v>
      </c>
      <c r="D170" s="184" t="s">
        <v>68</v>
      </c>
      <c r="E170" s="184" t="s">
        <v>124</v>
      </c>
      <c r="F170" s="182">
        <v>44029</v>
      </c>
      <c r="G170" s="186" t="s">
        <v>99</v>
      </c>
      <c r="H170" s="184" t="s">
        <v>190</v>
      </c>
      <c r="T170" s="184" t="s">
        <v>221</v>
      </c>
    </row>
    <row r="171" spans="1:20">
      <c r="A171" s="182">
        <v>43924</v>
      </c>
      <c r="B171" s="183">
        <v>0.4692708333333333</v>
      </c>
      <c r="C171" s="184" t="s">
        <v>67</v>
      </c>
      <c r="D171" s="184" t="s">
        <v>159</v>
      </c>
      <c r="E171" s="184" t="s">
        <v>19</v>
      </c>
      <c r="F171" s="182">
        <v>43945</v>
      </c>
      <c r="G171" s="186" t="s">
        <v>94</v>
      </c>
      <c r="H171" s="184" t="s">
        <v>248</v>
      </c>
    </row>
    <row r="172" spans="1:20">
      <c r="A172" s="182">
        <v>43924</v>
      </c>
      <c r="B172" s="183">
        <v>0.48456018518518523</v>
      </c>
      <c r="C172" s="184" t="s">
        <v>73</v>
      </c>
      <c r="D172" s="184" t="s">
        <v>68</v>
      </c>
      <c r="E172" s="184" t="s">
        <v>19</v>
      </c>
      <c r="F172" s="182">
        <v>44000</v>
      </c>
      <c r="G172" s="186" t="s">
        <v>114</v>
      </c>
      <c r="H172" s="184" t="s">
        <v>101</v>
      </c>
      <c r="T172" s="184" t="s">
        <v>249</v>
      </c>
    </row>
    <row r="173" spans="1:20">
      <c r="A173" s="182">
        <v>43924</v>
      </c>
      <c r="B173" s="183">
        <v>0.56072916666666661</v>
      </c>
      <c r="C173" s="184" t="s">
        <v>67</v>
      </c>
      <c r="D173" s="184" t="s">
        <v>68</v>
      </c>
      <c r="E173" s="184" t="s">
        <v>96</v>
      </c>
      <c r="F173" s="182">
        <v>43932</v>
      </c>
      <c r="G173" s="186" t="s">
        <v>94</v>
      </c>
      <c r="H173" s="184" t="s">
        <v>237</v>
      </c>
      <c r="T173" s="184" t="s">
        <v>250</v>
      </c>
    </row>
    <row r="174" spans="1:20">
      <c r="A174" s="182">
        <v>43924</v>
      </c>
      <c r="B174" s="183">
        <v>0.56383101851851858</v>
      </c>
      <c r="C174" s="184" t="s">
        <v>73</v>
      </c>
      <c r="D174" s="184" t="s">
        <v>68</v>
      </c>
      <c r="E174" s="184" t="s">
        <v>45</v>
      </c>
      <c r="F174" s="182">
        <v>43967</v>
      </c>
      <c r="G174" s="186" t="s">
        <v>251</v>
      </c>
      <c r="H174" s="184" t="s">
        <v>76</v>
      </c>
      <c r="T174" s="184" t="s">
        <v>252</v>
      </c>
    </row>
    <row r="175" spans="1:20">
      <c r="A175" s="182">
        <v>43924</v>
      </c>
      <c r="B175" s="183">
        <v>0.59543981481481478</v>
      </c>
      <c r="C175" s="184" t="s">
        <v>73</v>
      </c>
      <c r="D175" s="184" t="s">
        <v>68</v>
      </c>
      <c r="E175" s="184" t="s">
        <v>45</v>
      </c>
      <c r="F175" s="182">
        <v>43967</v>
      </c>
      <c r="G175" s="186" t="s">
        <v>112</v>
      </c>
      <c r="H175" s="184" t="s">
        <v>103</v>
      </c>
      <c r="T175" s="184" t="s">
        <v>253</v>
      </c>
    </row>
    <row r="176" spans="1:20">
      <c r="A176" s="182">
        <v>43924</v>
      </c>
      <c r="B176" s="183">
        <v>0.60270833333333329</v>
      </c>
      <c r="C176" s="184" t="s">
        <v>73</v>
      </c>
      <c r="D176" s="184" t="s">
        <v>68</v>
      </c>
      <c r="E176" s="184" t="s">
        <v>45</v>
      </c>
      <c r="F176" s="182">
        <v>43967</v>
      </c>
      <c r="G176" s="186" t="s">
        <v>160</v>
      </c>
      <c r="H176" s="184" t="s">
        <v>76</v>
      </c>
      <c r="T176" s="184" t="s">
        <v>254</v>
      </c>
    </row>
    <row r="177" spans="1:20">
      <c r="A177" s="182">
        <v>43927</v>
      </c>
      <c r="B177" s="183">
        <v>0.43503472222222223</v>
      </c>
      <c r="C177" s="184" t="s">
        <v>67</v>
      </c>
      <c r="D177" s="184" t="s">
        <v>68</v>
      </c>
      <c r="E177" s="184" t="s">
        <v>85</v>
      </c>
      <c r="F177" s="182">
        <v>43948</v>
      </c>
      <c r="G177" s="186" t="s">
        <v>99</v>
      </c>
      <c r="H177" s="184" t="s">
        <v>76</v>
      </c>
      <c r="T177" s="184" t="s">
        <v>235</v>
      </c>
    </row>
    <row r="178" spans="1:20">
      <c r="A178" s="182">
        <v>43927</v>
      </c>
      <c r="B178" s="183">
        <v>0.43584490740740739</v>
      </c>
      <c r="C178" s="184" t="s">
        <v>67</v>
      </c>
      <c r="D178" s="184" t="s">
        <v>68</v>
      </c>
      <c r="E178" s="184" t="s">
        <v>85</v>
      </c>
      <c r="F178" s="182">
        <v>44042</v>
      </c>
      <c r="G178" s="186" t="s">
        <v>70</v>
      </c>
      <c r="H178" s="184" t="s">
        <v>71</v>
      </c>
      <c r="T178" s="184" t="s">
        <v>235</v>
      </c>
    </row>
    <row r="179" spans="1:20">
      <c r="A179" s="182">
        <v>43927</v>
      </c>
      <c r="B179" s="183">
        <v>0.44829861111111113</v>
      </c>
      <c r="C179" s="184" t="s">
        <v>67</v>
      </c>
      <c r="D179" s="184" t="s">
        <v>68</v>
      </c>
      <c r="E179" s="184" t="s">
        <v>45</v>
      </c>
      <c r="F179" s="182">
        <v>43967</v>
      </c>
      <c r="G179" s="186" t="s">
        <v>94</v>
      </c>
      <c r="H179" s="184" t="s">
        <v>87</v>
      </c>
      <c r="T179" s="184" t="s">
        <v>234</v>
      </c>
    </row>
    <row r="180" spans="1:20">
      <c r="A180" s="182">
        <v>43927</v>
      </c>
      <c r="B180" s="183">
        <v>0.44869212962962962</v>
      </c>
      <c r="C180" s="184" t="s">
        <v>67</v>
      </c>
      <c r="D180" s="184" t="s">
        <v>68</v>
      </c>
      <c r="E180" s="184" t="s">
        <v>45</v>
      </c>
      <c r="F180" s="182">
        <v>43994</v>
      </c>
      <c r="G180" s="186" t="s">
        <v>94</v>
      </c>
      <c r="H180" s="184" t="s">
        <v>103</v>
      </c>
      <c r="T180" s="184" t="s">
        <v>234</v>
      </c>
    </row>
    <row r="181" spans="1:20">
      <c r="A181" s="182">
        <v>43927</v>
      </c>
      <c r="B181" s="183">
        <v>0.59111111111111114</v>
      </c>
      <c r="C181" s="184" t="s">
        <v>67</v>
      </c>
      <c r="D181" s="184" t="s">
        <v>78</v>
      </c>
      <c r="E181" s="184" t="s">
        <v>19</v>
      </c>
      <c r="F181" s="182">
        <v>43945</v>
      </c>
      <c r="G181" s="186" t="s">
        <v>160</v>
      </c>
      <c r="H181" s="184" t="s">
        <v>186</v>
      </c>
    </row>
    <row r="182" spans="1:20">
      <c r="A182" s="182">
        <v>43927</v>
      </c>
      <c r="B182" s="183">
        <v>0.59128472222222228</v>
      </c>
      <c r="C182" s="184" t="s">
        <v>67</v>
      </c>
      <c r="D182" s="184" t="s">
        <v>78</v>
      </c>
      <c r="E182" s="184" t="s">
        <v>19</v>
      </c>
      <c r="F182" s="182">
        <v>44000</v>
      </c>
      <c r="G182" s="186" t="s">
        <v>94</v>
      </c>
      <c r="H182" s="184" t="s">
        <v>113</v>
      </c>
    </row>
    <row r="183" spans="1:20">
      <c r="A183" s="182">
        <v>43927</v>
      </c>
      <c r="B183" s="183">
        <v>0.64449074074074075</v>
      </c>
      <c r="C183" s="184" t="s">
        <v>67</v>
      </c>
      <c r="D183" s="184" t="s">
        <v>78</v>
      </c>
      <c r="E183" s="184" t="s">
        <v>69</v>
      </c>
      <c r="F183" s="182">
        <v>43978</v>
      </c>
      <c r="G183" s="186" t="s">
        <v>99</v>
      </c>
      <c r="H183" s="184" t="s">
        <v>233</v>
      </c>
    </row>
    <row r="184" spans="1:20">
      <c r="A184" s="182">
        <v>43927</v>
      </c>
      <c r="B184" s="183">
        <v>0.64454861111111106</v>
      </c>
      <c r="C184" s="184" t="s">
        <v>67</v>
      </c>
      <c r="D184" s="184" t="s">
        <v>78</v>
      </c>
      <c r="E184" s="184" t="s">
        <v>69</v>
      </c>
      <c r="F184" s="182">
        <v>44001</v>
      </c>
      <c r="G184" s="186" t="s">
        <v>70</v>
      </c>
      <c r="H184" s="184" t="s">
        <v>86</v>
      </c>
    </row>
    <row r="185" spans="1:20">
      <c r="A185" s="182">
        <v>43927</v>
      </c>
      <c r="B185" s="183">
        <v>0.69380787037037039</v>
      </c>
      <c r="C185" s="184" t="s">
        <v>73</v>
      </c>
      <c r="D185" s="184" t="s">
        <v>78</v>
      </c>
      <c r="E185" s="184" t="s">
        <v>19</v>
      </c>
      <c r="F185" s="182">
        <v>43945</v>
      </c>
      <c r="G185" s="186" t="s">
        <v>94</v>
      </c>
      <c r="H185" s="184" t="s">
        <v>208</v>
      </c>
    </row>
    <row r="186" spans="1:20">
      <c r="A186" s="182">
        <v>43927</v>
      </c>
      <c r="B186" s="183">
        <v>0.69403935185185184</v>
      </c>
      <c r="C186" s="184" t="s">
        <v>73</v>
      </c>
      <c r="D186" s="184" t="s">
        <v>78</v>
      </c>
      <c r="E186" s="184" t="s">
        <v>95</v>
      </c>
      <c r="F186" s="182">
        <v>43959</v>
      </c>
      <c r="G186" s="186" t="s">
        <v>70</v>
      </c>
      <c r="H186" s="184" t="s">
        <v>86</v>
      </c>
    </row>
    <row r="187" spans="1:20">
      <c r="A187" s="182">
        <v>43927</v>
      </c>
      <c r="B187" s="183">
        <v>0.69675925925925919</v>
      </c>
      <c r="C187" s="184" t="s">
        <v>67</v>
      </c>
      <c r="D187" s="184" t="s">
        <v>68</v>
      </c>
      <c r="E187" s="184" t="s">
        <v>96</v>
      </c>
      <c r="F187" s="182">
        <v>43932</v>
      </c>
      <c r="G187" s="186" t="s">
        <v>255</v>
      </c>
      <c r="H187" s="184" t="s">
        <v>256</v>
      </c>
      <c r="T187" s="184" t="s">
        <v>147</v>
      </c>
    </row>
    <row r="188" spans="1:20">
      <c r="A188" s="182">
        <v>43927</v>
      </c>
      <c r="B188" s="183">
        <v>0.69841435185185186</v>
      </c>
      <c r="C188" s="184" t="s">
        <v>67</v>
      </c>
      <c r="D188" s="184" t="s">
        <v>78</v>
      </c>
      <c r="E188" s="184" t="s">
        <v>96</v>
      </c>
      <c r="F188" s="182">
        <v>43932</v>
      </c>
      <c r="G188" s="186" t="s">
        <v>99</v>
      </c>
      <c r="H188" s="184" t="s">
        <v>107</v>
      </c>
    </row>
    <row r="189" spans="1:20">
      <c r="A189" s="182">
        <v>43928</v>
      </c>
      <c r="B189" s="183">
        <v>0.37964120370370374</v>
      </c>
      <c r="C189" s="184" t="s">
        <v>67</v>
      </c>
      <c r="D189" s="184" t="s">
        <v>68</v>
      </c>
      <c r="E189" s="184" t="s">
        <v>45</v>
      </c>
      <c r="F189" s="182">
        <v>43967</v>
      </c>
      <c r="G189" s="186" t="s">
        <v>114</v>
      </c>
      <c r="H189" s="184" t="s">
        <v>103</v>
      </c>
      <c r="T189" s="184" t="s">
        <v>74</v>
      </c>
    </row>
    <row r="190" spans="1:20">
      <c r="A190" s="182">
        <v>43928</v>
      </c>
      <c r="B190" s="183">
        <v>0.38291666666666663</v>
      </c>
      <c r="C190" s="184" t="s">
        <v>67</v>
      </c>
      <c r="D190" s="184" t="s">
        <v>68</v>
      </c>
      <c r="E190" s="184" t="s">
        <v>45</v>
      </c>
      <c r="F190" s="182">
        <v>44086</v>
      </c>
      <c r="G190" s="186" t="s">
        <v>70</v>
      </c>
      <c r="H190" s="184" t="s">
        <v>71</v>
      </c>
      <c r="T190" s="184" t="s">
        <v>74</v>
      </c>
    </row>
    <row r="191" spans="1:20">
      <c r="A191" s="182">
        <v>43928</v>
      </c>
      <c r="B191" s="183">
        <v>0.38420138888888888</v>
      </c>
      <c r="C191" s="184" t="s">
        <v>67</v>
      </c>
      <c r="D191" s="184" t="s">
        <v>68</v>
      </c>
      <c r="E191" s="184" t="s">
        <v>19</v>
      </c>
      <c r="F191" s="182">
        <v>44000</v>
      </c>
      <c r="G191" s="186" t="s">
        <v>94</v>
      </c>
      <c r="H191" s="184" t="s">
        <v>103</v>
      </c>
      <c r="T191" s="184" t="s">
        <v>74</v>
      </c>
    </row>
    <row r="192" spans="1:20">
      <c r="A192" s="182">
        <v>43928</v>
      </c>
      <c r="B192" s="183">
        <v>0.38519675925925928</v>
      </c>
      <c r="C192" s="184" t="s">
        <v>67</v>
      </c>
      <c r="D192" s="184" t="s">
        <v>68</v>
      </c>
      <c r="E192" s="184" t="s">
        <v>19</v>
      </c>
      <c r="F192" s="182">
        <v>44070</v>
      </c>
      <c r="G192" s="186" t="s">
        <v>70</v>
      </c>
      <c r="H192" s="184" t="s">
        <v>71</v>
      </c>
      <c r="T192" s="184" t="s">
        <v>74</v>
      </c>
    </row>
    <row r="193" spans="1:20">
      <c r="A193" s="182">
        <v>43928</v>
      </c>
      <c r="B193" s="183">
        <v>0.38581018518518517</v>
      </c>
      <c r="C193" s="184" t="s">
        <v>67</v>
      </c>
      <c r="D193" s="184" t="s">
        <v>68</v>
      </c>
      <c r="E193" s="184" t="s">
        <v>19</v>
      </c>
      <c r="F193" s="182">
        <v>44105</v>
      </c>
      <c r="G193" s="186" t="s">
        <v>94</v>
      </c>
      <c r="H193" s="184" t="s">
        <v>76</v>
      </c>
      <c r="T193" s="184" t="s">
        <v>74</v>
      </c>
    </row>
    <row r="194" spans="1:20">
      <c r="A194" s="182">
        <v>43928</v>
      </c>
      <c r="B194" s="183">
        <v>0.39098379629629632</v>
      </c>
      <c r="C194" s="184" t="s">
        <v>67</v>
      </c>
      <c r="D194" s="184" t="s">
        <v>91</v>
      </c>
      <c r="E194" s="184" t="s">
        <v>95</v>
      </c>
      <c r="F194" s="182">
        <v>43959</v>
      </c>
      <c r="G194" s="186" t="s">
        <v>75</v>
      </c>
      <c r="H194" s="184" t="s">
        <v>227</v>
      </c>
    </row>
    <row r="195" spans="1:20">
      <c r="A195" s="182">
        <v>43928</v>
      </c>
      <c r="B195" s="183">
        <v>0.41423611111111108</v>
      </c>
      <c r="C195" s="184" t="s">
        <v>67</v>
      </c>
      <c r="D195" s="184" t="s">
        <v>68</v>
      </c>
      <c r="E195" s="184" t="s">
        <v>45</v>
      </c>
      <c r="F195" s="182">
        <v>43994</v>
      </c>
      <c r="G195" s="186" t="s">
        <v>94</v>
      </c>
      <c r="H195" s="184" t="s">
        <v>182</v>
      </c>
      <c r="T195" s="184" t="s">
        <v>257</v>
      </c>
    </row>
    <row r="196" spans="1:20">
      <c r="A196" s="182">
        <v>43928</v>
      </c>
      <c r="B196" s="183">
        <v>0.43465277777777778</v>
      </c>
      <c r="C196" s="184" t="s">
        <v>67</v>
      </c>
      <c r="D196" s="184" t="s">
        <v>68</v>
      </c>
      <c r="E196" s="184" t="s">
        <v>19</v>
      </c>
      <c r="F196" s="182">
        <v>43945</v>
      </c>
      <c r="G196" s="186" t="s">
        <v>160</v>
      </c>
      <c r="H196" s="184" t="s">
        <v>225</v>
      </c>
      <c r="T196" s="184" t="s">
        <v>258</v>
      </c>
    </row>
    <row r="197" spans="1:20">
      <c r="A197" s="182">
        <v>43928</v>
      </c>
      <c r="B197" s="183">
        <v>0.43498842592592596</v>
      </c>
      <c r="C197" s="184" t="s">
        <v>67</v>
      </c>
      <c r="D197" s="184" t="s">
        <v>68</v>
      </c>
      <c r="E197" s="184" t="s">
        <v>19</v>
      </c>
      <c r="F197" s="182">
        <v>44000</v>
      </c>
      <c r="G197" s="186" t="s">
        <v>112</v>
      </c>
      <c r="H197" s="184" t="s">
        <v>259</v>
      </c>
      <c r="T197" s="184" t="s">
        <v>253</v>
      </c>
    </row>
    <row r="198" spans="1:20">
      <c r="A198" s="182">
        <v>43928</v>
      </c>
      <c r="B198" s="183">
        <v>0.54483796296296294</v>
      </c>
      <c r="C198" s="184" t="s">
        <v>67</v>
      </c>
      <c r="D198" s="184" t="s">
        <v>68</v>
      </c>
      <c r="E198" s="184" t="s">
        <v>96</v>
      </c>
      <c r="F198" s="182">
        <v>43932</v>
      </c>
      <c r="G198" s="186" t="s">
        <v>99</v>
      </c>
      <c r="H198" s="184" t="s">
        <v>260</v>
      </c>
      <c r="T198" s="184" t="s">
        <v>153</v>
      </c>
    </row>
    <row r="199" spans="1:20">
      <c r="A199" s="182">
        <v>43928</v>
      </c>
      <c r="B199" s="183">
        <v>0.54518518518518522</v>
      </c>
      <c r="C199" s="184" t="s">
        <v>67</v>
      </c>
      <c r="D199" s="184" t="s">
        <v>68</v>
      </c>
      <c r="E199" s="184" t="s">
        <v>96</v>
      </c>
      <c r="F199" s="182">
        <v>44025</v>
      </c>
      <c r="G199" s="186" t="s">
        <v>94</v>
      </c>
      <c r="H199" s="184" t="s">
        <v>76</v>
      </c>
      <c r="T199" s="184" t="s">
        <v>153</v>
      </c>
    </row>
    <row r="200" spans="1:20">
      <c r="A200" s="182">
        <v>43928</v>
      </c>
      <c r="B200" s="183">
        <v>0.55114583333333333</v>
      </c>
      <c r="C200" s="184" t="s">
        <v>67</v>
      </c>
      <c r="D200" s="184" t="s">
        <v>68</v>
      </c>
      <c r="E200" s="184" t="s">
        <v>96</v>
      </c>
      <c r="F200" s="182">
        <v>43932</v>
      </c>
      <c r="G200" s="186" t="s">
        <v>99</v>
      </c>
      <c r="H200" s="184" t="s">
        <v>261</v>
      </c>
      <c r="T200" s="184" t="s">
        <v>157</v>
      </c>
    </row>
    <row r="201" spans="1:20">
      <c r="A201" s="182">
        <v>43928</v>
      </c>
      <c r="B201" s="183">
        <v>0.55141203703703701</v>
      </c>
      <c r="C201" s="184" t="s">
        <v>67</v>
      </c>
      <c r="D201" s="184" t="s">
        <v>68</v>
      </c>
      <c r="E201" s="184" t="s">
        <v>96</v>
      </c>
      <c r="F201" s="182">
        <v>44025</v>
      </c>
      <c r="G201" s="186" t="s">
        <v>94</v>
      </c>
      <c r="H201" s="184" t="s">
        <v>87</v>
      </c>
      <c r="T201" s="184" t="s">
        <v>157</v>
      </c>
    </row>
    <row r="202" spans="1:20">
      <c r="A202" s="182">
        <v>43928</v>
      </c>
      <c r="B202" s="183">
        <v>0.59364583333333332</v>
      </c>
      <c r="C202" s="184" t="s">
        <v>67</v>
      </c>
      <c r="D202" s="184" t="s">
        <v>68</v>
      </c>
      <c r="E202" s="184" t="s">
        <v>19</v>
      </c>
      <c r="F202" s="182">
        <v>43945</v>
      </c>
      <c r="G202" s="186" t="s">
        <v>236</v>
      </c>
      <c r="H202" s="184" t="s">
        <v>256</v>
      </c>
      <c r="T202" s="184" t="s">
        <v>262</v>
      </c>
    </row>
    <row r="203" spans="1:20">
      <c r="A203" s="182">
        <v>43928</v>
      </c>
      <c r="B203" s="183">
        <v>0.59390046296296295</v>
      </c>
      <c r="C203" s="184" t="s">
        <v>67</v>
      </c>
      <c r="D203" s="184" t="s">
        <v>68</v>
      </c>
      <c r="E203" s="184" t="s">
        <v>19</v>
      </c>
      <c r="F203" s="182">
        <v>43945</v>
      </c>
      <c r="G203" s="186" t="s">
        <v>236</v>
      </c>
      <c r="H203" s="184" t="s">
        <v>256</v>
      </c>
      <c r="T203" s="184" t="s">
        <v>262</v>
      </c>
    </row>
    <row r="204" spans="1:20">
      <c r="A204" s="182">
        <v>43928</v>
      </c>
      <c r="B204" s="183">
        <v>0.5940509259259259</v>
      </c>
      <c r="C204" s="184" t="s">
        <v>67</v>
      </c>
      <c r="D204" s="184" t="s">
        <v>68</v>
      </c>
      <c r="E204" s="184" t="s">
        <v>19</v>
      </c>
      <c r="F204" s="182">
        <v>44000</v>
      </c>
      <c r="G204" s="186" t="s">
        <v>119</v>
      </c>
      <c r="H204" s="184" t="s">
        <v>206</v>
      </c>
      <c r="T204" s="184" t="s">
        <v>262</v>
      </c>
    </row>
    <row r="205" spans="1:20">
      <c r="A205" s="182">
        <v>43928</v>
      </c>
      <c r="B205" s="183">
        <v>0.59438657407407403</v>
      </c>
      <c r="C205" s="184" t="s">
        <v>67</v>
      </c>
      <c r="D205" s="184" t="s">
        <v>68</v>
      </c>
      <c r="E205" s="184" t="s">
        <v>19</v>
      </c>
      <c r="F205" s="182">
        <v>44000</v>
      </c>
      <c r="G205" s="186" t="s">
        <v>178</v>
      </c>
      <c r="H205" s="184" t="s">
        <v>206</v>
      </c>
      <c r="T205" s="184" t="s">
        <v>262</v>
      </c>
    </row>
    <row r="206" spans="1:20">
      <c r="A206" s="182">
        <v>43928</v>
      </c>
      <c r="B206" s="183">
        <v>0.59813657407407406</v>
      </c>
      <c r="C206" s="184" t="s">
        <v>67</v>
      </c>
      <c r="D206" s="184" t="s">
        <v>78</v>
      </c>
      <c r="E206" s="184" t="s">
        <v>19</v>
      </c>
      <c r="F206" s="182">
        <v>43945</v>
      </c>
      <c r="G206" s="186" t="s">
        <v>263</v>
      </c>
      <c r="H206" s="184" t="s">
        <v>82</v>
      </c>
    </row>
    <row r="207" spans="1:20">
      <c r="A207" s="182">
        <v>43928</v>
      </c>
      <c r="B207" s="183">
        <v>0.59829861111111116</v>
      </c>
      <c r="C207" s="184" t="s">
        <v>67</v>
      </c>
      <c r="D207" s="184" t="s">
        <v>78</v>
      </c>
      <c r="E207" s="184" t="s">
        <v>19</v>
      </c>
      <c r="F207" s="182">
        <v>44000</v>
      </c>
      <c r="G207" s="186" t="s">
        <v>264</v>
      </c>
      <c r="H207" s="184" t="s">
        <v>80</v>
      </c>
    </row>
    <row r="208" spans="1:20">
      <c r="A208" s="182">
        <v>43928</v>
      </c>
      <c r="B208" s="183">
        <v>0.59840277777777773</v>
      </c>
      <c r="C208" s="184" t="s">
        <v>67</v>
      </c>
      <c r="D208" s="184" t="s">
        <v>78</v>
      </c>
      <c r="E208" s="184" t="s">
        <v>19</v>
      </c>
      <c r="F208" s="182">
        <v>44070</v>
      </c>
      <c r="G208" s="186" t="s">
        <v>114</v>
      </c>
      <c r="H208" s="184" t="s">
        <v>265</v>
      </c>
    </row>
    <row r="209" spans="1:20">
      <c r="A209" s="182">
        <v>43928</v>
      </c>
      <c r="B209" s="183">
        <v>0.59894675925925933</v>
      </c>
      <c r="C209" s="184" t="s">
        <v>67</v>
      </c>
      <c r="D209" s="184" t="s">
        <v>78</v>
      </c>
      <c r="E209" s="184" t="s">
        <v>19</v>
      </c>
      <c r="F209" s="182">
        <v>43945</v>
      </c>
      <c r="G209" s="186" t="s">
        <v>266</v>
      </c>
      <c r="H209" s="184" t="s">
        <v>106</v>
      </c>
    </row>
    <row r="210" spans="1:20">
      <c r="A210" s="182">
        <v>43928</v>
      </c>
      <c r="B210" s="183">
        <v>0.59910879629629632</v>
      </c>
      <c r="C210" s="184" t="s">
        <v>67</v>
      </c>
      <c r="D210" s="184" t="s">
        <v>78</v>
      </c>
      <c r="E210" s="184" t="s">
        <v>19</v>
      </c>
      <c r="F210" s="182">
        <v>44000</v>
      </c>
      <c r="G210" s="186" t="s">
        <v>264</v>
      </c>
      <c r="H210" s="184" t="s">
        <v>186</v>
      </c>
    </row>
    <row r="211" spans="1:20">
      <c r="A211" s="182">
        <v>43928</v>
      </c>
      <c r="B211" s="183">
        <v>0.59946759259259264</v>
      </c>
      <c r="C211" s="184" t="s">
        <v>67</v>
      </c>
      <c r="D211" s="184" t="s">
        <v>78</v>
      </c>
      <c r="E211" s="184" t="s">
        <v>45</v>
      </c>
      <c r="F211" s="182">
        <v>43967</v>
      </c>
      <c r="G211" s="186" t="s">
        <v>266</v>
      </c>
      <c r="H211" s="184" t="s">
        <v>265</v>
      </c>
    </row>
    <row r="212" spans="1:20">
      <c r="A212" s="182">
        <v>43928</v>
      </c>
      <c r="B212" s="183">
        <v>0.5995949074074074</v>
      </c>
      <c r="C212" s="184" t="s">
        <v>67</v>
      </c>
      <c r="D212" s="184" t="s">
        <v>78</v>
      </c>
      <c r="E212" s="184" t="s">
        <v>45</v>
      </c>
      <c r="F212" s="182">
        <v>43994</v>
      </c>
      <c r="G212" s="186" t="s">
        <v>264</v>
      </c>
      <c r="H212" s="184" t="s">
        <v>267</v>
      </c>
    </row>
    <row r="213" spans="1:20">
      <c r="A213" s="182">
        <v>43928</v>
      </c>
      <c r="B213" s="183">
        <v>0.59993055555555552</v>
      </c>
      <c r="C213" s="184" t="s">
        <v>67</v>
      </c>
      <c r="D213" s="184" t="s">
        <v>78</v>
      </c>
      <c r="E213" s="184" t="s">
        <v>19</v>
      </c>
      <c r="F213" s="182">
        <v>43945</v>
      </c>
      <c r="G213" s="186" t="s">
        <v>115</v>
      </c>
      <c r="H213" s="184" t="s">
        <v>86</v>
      </c>
    </row>
    <row r="214" spans="1:20">
      <c r="A214" s="182">
        <v>43928</v>
      </c>
      <c r="B214" s="183">
        <v>0.60002314814814817</v>
      </c>
      <c r="C214" s="184" t="s">
        <v>67</v>
      </c>
      <c r="D214" s="184" t="s">
        <v>78</v>
      </c>
      <c r="E214" s="184" t="s">
        <v>19</v>
      </c>
      <c r="F214" s="182">
        <v>44000</v>
      </c>
      <c r="G214" s="186" t="s">
        <v>114</v>
      </c>
      <c r="H214" s="184" t="s">
        <v>268</v>
      </c>
    </row>
    <row r="215" spans="1:20">
      <c r="A215" s="182">
        <v>43928</v>
      </c>
      <c r="B215" s="183">
        <v>0.60045138888888883</v>
      </c>
      <c r="C215" s="184" t="s">
        <v>67</v>
      </c>
      <c r="D215" s="184" t="s">
        <v>78</v>
      </c>
      <c r="E215" s="184" t="s">
        <v>19</v>
      </c>
      <c r="F215" s="182">
        <v>43945</v>
      </c>
      <c r="G215" s="186" t="s">
        <v>99</v>
      </c>
      <c r="H215" s="184" t="s">
        <v>233</v>
      </c>
    </row>
    <row r="216" spans="1:20">
      <c r="A216" s="182">
        <v>43928</v>
      </c>
      <c r="B216" s="183">
        <v>0.60054398148148147</v>
      </c>
      <c r="C216" s="184" t="s">
        <v>67</v>
      </c>
      <c r="D216" s="184" t="s">
        <v>78</v>
      </c>
      <c r="E216" s="184" t="s">
        <v>19</v>
      </c>
      <c r="F216" s="182">
        <v>44000</v>
      </c>
      <c r="G216" s="186" t="s">
        <v>114</v>
      </c>
      <c r="H216" s="184" t="s">
        <v>269</v>
      </c>
    </row>
    <row r="217" spans="1:20">
      <c r="A217" s="182">
        <v>43928</v>
      </c>
      <c r="B217" s="183">
        <v>0.6007986111111111</v>
      </c>
      <c r="C217" s="184" t="s">
        <v>67</v>
      </c>
      <c r="D217" s="184" t="s">
        <v>78</v>
      </c>
      <c r="E217" s="184" t="s">
        <v>45</v>
      </c>
      <c r="F217" s="182">
        <v>43994</v>
      </c>
      <c r="G217" s="186" t="s">
        <v>114</v>
      </c>
      <c r="H217" s="184" t="s">
        <v>82</v>
      </c>
    </row>
    <row r="218" spans="1:20">
      <c r="A218" s="182">
        <v>43928</v>
      </c>
      <c r="B218" s="183">
        <v>0.60105324074074074</v>
      </c>
      <c r="C218" s="184" t="s">
        <v>67</v>
      </c>
      <c r="D218" s="184" t="s">
        <v>78</v>
      </c>
      <c r="E218" s="184" t="s">
        <v>45</v>
      </c>
      <c r="F218" s="182">
        <v>44086</v>
      </c>
      <c r="G218" s="186" t="s">
        <v>114</v>
      </c>
      <c r="H218" s="184" t="s">
        <v>113</v>
      </c>
    </row>
    <row r="219" spans="1:20">
      <c r="A219" s="182">
        <v>43928</v>
      </c>
      <c r="B219" s="183">
        <v>0.60128472222222229</v>
      </c>
      <c r="C219" s="184" t="s">
        <v>67</v>
      </c>
      <c r="D219" s="184" t="s">
        <v>78</v>
      </c>
      <c r="E219" s="184" t="s">
        <v>19</v>
      </c>
      <c r="F219" s="182">
        <v>44000</v>
      </c>
      <c r="G219" s="186" t="s">
        <v>114</v>
      </c>
      <c r="H219" s="184" t="s">
        <v>270</v>
      </c>
    </row>
    <row r="220" spans="1:20">
      <c r="A220" s="182">
        <v>43928</v>
      </c>
      <c r="B220" s="183">
        <v>0.60163194444444446</v>
      </c>
      <c r="C220" s="184" t="s">
        <v>67</v>
      </c>
      <c r="D220" s="184" t="s">
        <v>78</v>
      </c>
      <c r="E220" s="184" t="s">
        <v>45</v>
      </c>
      <c r="F220" s="182">
        <v>43994</v>
      </c>
      <c r="G220" s="186" t="s">
        <v>83</v>
      </c>
      <c r="H220" s="184" t="s">
        <v>84</v>
      </c>
    </row>
    <row r="221" spans="1:20">
      <c r="A221" s="182">
        <v>43928</v>
      </c>
      <c r="B221" s="183">
        <v>0.60768518518518522</v>
      </c>
      <c r="C221" s="184" t="s">
        <v>67</v>
      </c>
      <c r="D221" s="184" t="s">
        <v>68</v>
      </c>
      <c r="E221" s="184" t="s">
        <v>19</v>
      </c>
      <c r="F221" s="182">
        <v>43945</v>
      </c>
      <c r="G221" s="186" t="s">
        <v>99</v>
      </c>
      <c r="H221" s="184" t="s">
        <v>260</v>
      </c>
      <c r="T221" s="184" t="s">
        <v>246</v>
      </c>
    </row>
    <row r="222" spans="1:20">
      <c r="A222" s="182">
        <v>43928</v>
      </c>
      <c r="B222" s="183">
        <v>0.60799768518518515</v>
      </c>
      <c r="C222" s="184" t="s">
        <v>67</v>
      </c>
      <c r="D222" s="184" t="s">
        <v>68</v>
      </c>
      <c r="E222" s="184" t="s">
        <v>19</v>
      </c>
      <c r="F222" s="182">
        <v>44000</v>
      </c>
      <c r="G222" s="186" t="s">
        <v>94</v>
      </c>
      <c r="H222" s="184" t="s">
        <v>209</v>
      </c>
      <c r="T222" s="184" t="s">
        <v>246</v>
      </c>
    </row>
    <row r="223" spans="1:20">
      <c r="A223" s="182">
        <v>43928</v>
      </c>
      <c r="B223" s="183">
        <v>0.61100694444444448</v>
      </c>
      <c r="C223" s="184" t="s">
        <v>67</v>
      </c>
      <c r="D223" s="184" t="s">
        <v>78</v>
      </c>
      <c r="E223" s="184" t="s">
        <v>96</v>
      </c>
      <c r="F223" s="182">
        <v>44092</v>
      </c>
      <c r="G223" s="186" t="s">
        <v>105</v>
      </c>
      <c r="H223" s="184" t="s">
        <v>106</v>
      </c>
    </row>
    <row r="224" spans="1:20">
      <c r="A224" s="182">
        <v>43928</v>
      </c>
      <c r="B224" s="183">
        <v>0.62905092592592593</v>
      </c>
      <c r="C224" s="184" t="s">
        <v>67</v>
      </c>
      <c r="D224" s="184" t="s">
        <v>68</v>
      </c>
      <c r="E224" s="184" t="s">
        <v>19</v>
      </c>
      <c r="F224" s="182">
        <v>43945</v>
      </c>
      <c r="G224" s="186" t="s">
        <v>99</v>
      </c>
      <c r="H224" s="184" t="s">
        <v>261</v>
      </c>
      <c r="T224" s="184" t="s">
        <v>271</v>
      </c>
    </row>
    <row r="225" spans="1:20">
      <c r="A225" s="182">
        <v>43928</v>
      </c>
      <c r="B225" s="183">
        <v>0.62935185185185183</v>
      </c>
      <c r="C225" s="184" t="s">
        <v>67</v>
      </c>
      <c r="D225" s="184" t="s">
        <v>68</v>
      </c>
      <c r="E225" s="184" t="s">
        <v>19</v>
      </c>
      <c r="F225" s="182">
        <v>44000</v>
      </c>
      <c r="G225" s="186" t="s">
        <v>94</v>
      </c>
      <c r="H225" s="184" t="s">
        <v>272</v>
      </c>
      <c r="T225" s="184" t="s">
        <v>271</v>
      </c>
    </row>
    <row r="226" spans="1:20">
      <c r="A226" s="182">
        <v>43928</v>
      </c>
      <c r="B226" s="183">
        <v>0.63004629629629627</v>
      </c>
      <c r="C226" s="184" t="s">
        <v>67</v>
      </c>
      <c r="D226" s="184" t="s">
        <v>68</v>
      </c>
      <c r="E226" s="184" t="s">
        <v>19</v>
      </c>
      <c r="F226" s="182">
        <v>43945</v>
      </c>
      <c r="G226" s="186" t="s">
        <v>99</v>
      </c>
      <c r="H226" s="184" t="s">
        <v>273</v>
      </c>
      <c r="T226" s="184" t="s">
        <v>274</v>
      </c>
    </row>
    <row r="227" spans="1:20">
      <c r="A227" s="182">
        <v>43928</v>
      </c>
      <c r="B227" s="183">
        <v>0.63321759259259258</v>
      </c>
      <c r="C227" s="184" t="s">
        <v>67</v>
      </c>
      <c r="D227" s="184" t="s">
        <v>68</v>
      </c>
      <c r="E227" s="184" t="s">
        <v>19</v>
      </c>
      <c r="F227" s="182">
        <v>44000</v>
      </c>
      <c r="G227" s="186" t="s">
        <v>99</v>
      </c>
      <c r="H227" s="184" t="s">
        <v>209</v>
      </c>
      <c r="T227" s="184" t="s">
        <v>275</v>
      </c>
    </row>
    <row r="228" spans="1:20">
      <c r="A228" s="182">
        <v>43928</v>
      </c>
      <c r="B228" s="183">
        <v>0.63659722222222215</v>
      </c>
      <c r="C228" s="184" t="s">
        <v>67</v>
      </c>
      <c r="D228" s="184" t="s">
        <v>68</v>
      </c>
      <c r="E228" s="184" t="s">
        <v>19</v>
      </c>
      <c r="F228" s="182">
        <v>44070</v>
      </c>
      <c r="G228" s="186" t="s">
        <v>99</v>
      </c>
      <c r="H228" s="184" t="s">
        <v>222</v>
      </c>
      <c r="T228" s="184" t="s">
        <v>74</v>
      </c>
    </row>
    <row r="229" spans="1:20">
      <c r="A229" s="182">
        <v>43928</v>
      </c>
      <c r="B229" s="183">
        <v>0.63671296296296298</v>
      </c>
      <c r="C229" s="184" t="s">
        <v>67</v>
      </c>
      <c r="D229" s="184" t="s">
        <v>68</v>
      </c>
      <c r="E229" s="184" t="s">
        <v>19</v>
      </c>
      <c r="F229" s="182">
        <v>44105</v>
      </c>
      <c r="G229" s="186" t="s">
        <v>99</v>
      </c>
      <c r="H229" s="184" t="s">
        <v>71</v>
      </c>
      <c r="T229" s="184" t="s">
        <v>74</v>
      </c>
    </row>
    <row r="230" spans="1:20">
      <c r="A230" s="182">
        <v>43928</v>
      </c>
      <c r="B230" s="183">
        <v>0.63893518518518522</v>
      </c>
      <c r="C230" s="184" t="s">
        <v>67</v>
      </c>
      <c r="D230" s="184" t="s">
        <v>68</v>
      </c>
      <c r="E230" s="184" t="s">
        <v>19</v>
      </c>
      <c r="F230" s="182">
        <v>43945</v>
      </c>
      <c r="G230" s="186" t="s">
        <v>99</v>
      </c>
      <c r="H230" s="184" t="s">
        <v>259</v>
      </c>
      <c r="T230" s="184" t="s">
        <v>276</v>
      </c>
    </row>
    <row r="231" spans="1:20">
      <c r="A231" s="182">
        <v>43928</v>
      </c>
      <c r="B231" s="183">
        <v>0.63924768518518515</v>
      </c>
      <c r="C231" s="184" t="s">
        <v>67</v>
      </c>
      <c r="D231" s="184" t="s">
        <v>68</v>
      </c>
      <c r="E231" s="184" t="s">
        <v>19</v>
      </c>
      <c r="F231" s="182">
        <v>44000</v>
      </c>
      <c r="G231" s="186" t="s">
        <v>70</v>
      </c>
      <c r="H231" s="184" t="s">
        <v>272</v>
      </c>
      <c r="T231" s="184" t="s">
        <v>276</v>
      </c>
    </row>
    <row r="232" spans="1:20">
      <c r="A232" s="182">
        <v>43928</v>
      </c>
      <c r="B232" s="183">
        <v>0.69158564814814805</v>
      </c>
      <c r="C232" s="184" t="s">
        <v>67</v>
      </c>
      <c r="D232" s="184" t="s">
        <v>68</v>
      </c>
      <c r="E232" s="184" t="s">
        <v>45</v>
      </c>
      <c r="F232" s="182">
        <v>43967</v>
      </c>
      <c r="G232" s="186" t="s">
        <v>115</v>
      </c>
      <c r="H232" s="184" t="s">
        <v>87</v>
      </c>
      <c r="T232" s="184" t="s">
        <v>252</v>
      </c>
    </row>
    <row r="233" spans="1:20">
      <c r="A233" s="182">
        <v>43928</v>
      </c>
      <c r="B233" s="183">
        <v>0.69188657407407417</v>
      </c>
      <c r="C233" s="184" t="s">
        <v>67</v>
      </c>
      <c r="D233" s="184" t="s">
        <v>68</v>
      </c>
      <c r="E233" s="184" t="s">
        <v>45</v>
      </c>
      <c r="F233" s="182">
        <v>43994</v>
      </c>
      <c r="G233" s="186" t="s">
        <v>114</v>
      </c>
      <c r="H233" s="184" t="s">
        <v>259</v>
      </c>
      <c r="T233" s="184" t="s">
        <v>252</v>
      </c>
    </row>
    <row r="234" spans="1:20">
      <c r="A234" s="182">
        <v>43928</v>
      </c>
      <c r="B234" s="183">
        <v>0.7033449074074074</v>
      </c>
      <c r="C234" s="184" t="s">
        <v>67</v>
      </c>
      <c r="D234" s="184" t="s">
        <v>78</v>
      </c>
      <c r="E234" s="184" t="s">
        <v>19</v>
      </c>
      <c r="F234" s="182">
        <v>44000</v>
      </c>
      <c r="G234" s="186" t="s">
        <v>94</v>
      </c>
      <c r="H234" s="184" t="s">
        <v>277</v>
      </c>
    </row>
    <row r="235" spans="1:20">
      <c r="A235" s="182">
        <v>43928</v>
      </c>
      <c r="B235" s="183">
        <v>0.7090277777777777</v>
      </c>
      <c r="C235" s="184" t="s">
        <v>67</v>
      </c>
      <c r="D235" s="184" t="s">
        <v>91</v>
      </c>
      <c r="E235" s="184" t="s">
        <v>19</v>
      </c>
      <c r="F235" s="182">
        <v>43945</v>
      </c>
      <c r="G235" s="186" t="s">
        <v>115</v>
      </c>
      <c r="H235" s="184" t="s">
        <v>278</v>
      </c>
    </row>
    <row r="236" spans="1:20">
      <c r="A236" s="182">
        <v>43928</v>
      </c>
      <c r="B236" s="183">
        <v>0.70912037037037035</v>
      </c>
      <c r="C236" s="184" t="s">
        <v>67</v>
      </c>
      <c r="D236" s="184" t="s">
        <v>91</v>
      </c>
      <c r="E236" s="184" t="s">
        <v>19</v>
      </c>
      <c r="F236" s="182">
        <v>44000</v>
      </c>
      <c r="G236" s="186" t="s">
        <v>75</v>
      </c>
      <c r="H236" s="184" t="s">
        <v>92</v>
      </c>
    </row>
    <row r="237" spans="1:20">
      <c r="A237" s="182">
        <v>43928</v>
      </c>
      <c r="B237" s="183">
        <v>0.70931712962962967</v>
      </c>
      <c r="C237" s="184" t="s">
        <v>67</v>
      </c>
      <c r="D237" s="184" t="s">
        <v>91</v>
      </c>
      <c r="E237" s="184" t="s">
        <v>45</v>
      </c>
      <c r="F237" s="182">
        <v>43967</v>
      </c>
      <c r="G237" s="186" t="s">
        <v>236</v>
      </c>
      <c r="H237" s="184" t="s">
        <v>278</v>
      </c>
    </row>
    <row r="238" spans="1:20">
      <c r="A238" s="182">
        <v>43928</v>
      </c>
      <c r="B238" s="183">
        <v>0.70936342592592594</v>
      </c>
      <c r="C238" s="184" t="s">
        <v>67</v>
      </c>
      <c r="D238" s="184" t="s">
        <v>91</v>
      </c>
      <c r="E238" s="184" t="s">
        <v>45</v>
      </c>
      <c r="F238" s="182">
        <v>44086</v>
      </c>
      <c r="G238" s="186" t="s">
        <v>119</v>
      </c>
      <c r="H238" s="184" t="s">
        <v>120</v>
      </c>
    </row>
    <row r="239" spans="1:20">
      <c r="A239" s="182">
        <v>43928</v>
      </c>
      <c r="B239" s="183">
        <v>0.72197916666666673</v>
      </c>
      <c r="C239" s="184" t="s">
        <v>67</v>
      </c>
      <c r="D239" s="184" t="s">
        <v>68</v>
      </c>
      <c r="E239" s="184" t="s">
        <v>19</v>
      </c>
      <c r="F239" s="182">
        <v>43945</v>
      </c>
      <c r="G239" s="186" t="s">
        <v>99</v>
      </c>
      <c r="H239" s="184" t="s">
        <v>117</v>
      </c>
      <c r="T239" s="184" t="s">
        <v>177</v>
      </c>
    </row>
    <row r="240" spans="1:20">
      <c r="A240" s="182">
        <v>43928</v>
      </c>
      <c r="B240" s="183">
        <v>0.72238425925925931</v>
      </c>
      <c r="C240" s="184" t="s">
        <v>67</v>
      </c>
      <c r="D240" s="184" t="s">
        <v>68</v>
      </c>
      <c r="E240" s="184" t="s">
        <v>19</v>
      </c>
      <c r="F240" s="182">
        <v>44000</v>
      </c>
      <c r="G240" s="186" t="s">
        <v>94</v>
      </c>
      <c r="H240" s="184" t="s">
        <v>213</v>
      </c>
      <c r="T240" s="184" t="s">
        <v>177</v>
      </c>
    </row>
    <row r="241" spans="1:20">
      <c r="A241" s="182">
        <v>43929</v>
      </c>
      <c r="B241" s="183">
        <v>0.36496527777777782</v>
      </c>
      <c r="C241" s="184" t="s">
        <v>67</v>
      </c>
      <c r="D241" s="184" t="s">
        <v>91</v>
      </c>
      <c r="E241" s="184" t="s">
        <v>96</v>
      </c>
      <c r="F241" s="182">
        <v>43981</v>
      </c>
      <c r="G241" s="186" t="s">
        <v>115</v>
      </c>
      <c r="H241" s="184" t="s">
        <v>93</v>
      </c>
    </row>
    <row r="242" spans="1:20">
      <c r="A242" s="182">
        <v>43929</v>
      </c>
      <c r="B242" s="183">
        <v>0.36505787037037035</v>
      </c>
      <c r="C242" s="184" t="s">
        <v>67</v>
      </c>
      <c r="D242" s="184" t="s">
        <v>91</v>
      </c>
      <c r="E242" s="184" t="s">
        <v>96</v>
      </c>
      <c r="F242" s="182">
        <v>44025</v>
      </c>
      <c r="G242" s="186" t="s">
        <v>75</v>
      </c>
      <c r="H242" s="184" t="s">
        <v>92</v>
      </c>
    </row>
    <row r="243" spans="1:20">
      <c r="A243" s="182">
        <v>43929</v>
      </c>
      <c r="B243" s="183">
        <v>0.36624999999999996</v>
      </c>
      <c r="C243" s="184" t="s">
        <v>67</v>
      </c>
      <c r="D243" s="184" t="s">
        <v>91</v>
      </c>
      <c r="E243" s="184" t="s">
        <v>85</v>
      </c>
      <c r="F243" s="182">
        <v>43948</v>
      </c>
      <c r="G243" s="186" t="s">
        <v>70</v>
      </c>
      <c r="H243" s="184" t="s">
        <v>93</v>
      </c>
    </row>
    <row r="244" spans="1:20">
      <c r="A244" s="182">
        <v>43929</v>
      </c>
      <c r="B244" s="183">
        <v>0.37339120370370371</v>
      </c>
      <c r="C244" s="184" t="s">
        <v>67</v>
      </c>
      <c r="D244" s="184" t="s">
        <v>68</v>
      </c>
      <c r="E244" s="184" t="s">
        <v>19</v>
      </c>
      <c r="F244" s="182">
        <v>43945</v>
      </c>
      <c r="G244" s="186" t="s">
        <v>115</v>
      </c>
      <c r="H244" s="184" t="s">
        <v>103</v>
      </c>
      <c r="T244" s="184" t="s">
        <v>152</v>
      </c>
    </row>
    <row r="245" spans="1:20">
      <c r="A245" s="182">
        <v>43929</v>
      </c>
      <c r="B245" s="183">
        <v>0.37540509259259264</v>
      </c>
      <c r="C245" s="184" t="s">
        <v>67</v>
      </c>
      <c r="D245" s="184" t="s">
        <v>68</v>
      </c>
      <c r="E245" s="184" t="s">
        <v>19</v>
      </c>
      <c r="F245" s="182">
        <v>44000</v>
      </c>
      <c r="G245" s="186" t="s">
        <v>114</v>
      </c>
      <c r="H245" s="184" t="s">
        <v>231</v>
      </c>
      <c r="T245" s="184" t="s">
        <v>152</v>
      </c>
    </row>
    <row r="246" spans="1:20">
      <c r="A246" s="182">
        <v>43929</v>
      </c>
      <c r="B246" s="183">
        <v>0.38344907407407408</v>
      </c>
      <c r="C246" s="184" t="s">
        <v>67</v>
      </c>
      <c r="D246" s="184" t="s">
        <v>68</v>
      </c>
      <c r="E246" s="184" t="s">
        <v>96</v>
      </c>
      <c r="F246" s="182">
        <v>43932</v>
      </c>
      <c r="G246" s="186" t="s">
        <v>99</v>
      </c>
      <c r="H246" s="184" t="s">
        <v>273</v>
      </c>
      <c r="T246" s="184" t="s">
        <v>152</v>
      </c>
    </row>
    <row r="247" spans="1:20">
      <c r="A247" s="182">
        <v>43929</v>
      </c>
      <c r="B247" s="183">
        <v>0.38370370370370371</v>
      </c>
      <c r="C247" s="184" t="s">
        <v>67</v>
      </c>
      <c r="D247" s="184" t="s">
        <v>68</v>
      </c>
      <c r="E247" s="184" t="s">
        <v>96</v>
      </c>
      <c r="F247" s="182">
        <v>44142</v>
      </c>
      <c r="G247" s="186" t="s">
        <v>70</v>
      </c>
      <c r="H247" s="184" t="s">
        <v>71</v>
      </c>
      <c r="T247" s="184" t="s">
        <v>152</v>
      </c>
    </row>
    <row r="248" spans="1:20">
      <c r="A248" s="182">
        <v>43929</v>
      </c>
      <c r="B248" s="183">
        <v>0.38578703703703704</v>
      </c>
      <c r="C248" s="184" t="s">
        <v>67</v>
      </c>
      <c r="D248" s="184" t="s">
        <v>68</v>
      </c>
      <c r="E248" s="184" t="s">
        <v>69</v>
      </c>
      <c r="F248" s="182">
        <v>44001</v>
      </c>
      <c r="G248" s="186" t="s">
        <v>99</v>
      </c>
      <c r="H248" s="184" t="s">
        <v>182</v>
      </c>
      <c r="T248" s="184" t="s">
        <v>152</v>
      </c>
    </row>
    <row r="249" spans="1:20">
      <c r="A249" s="182">
        <v>43929</v>
      </c>
      <c r="B249" s="183">
        <v>0.38609953703703703</v>
      </c>
      <c r="C249" s="184" t="s">
        <v>67</v>
      </c>
      <c r="D249" s="184" t="s">
        <v>68</v>
      </c>
      <c r="E249" s="184" t="s">
        <v>69</v>
      </c>
      <c r="F249" s="182">
        <v>44079</v>
      </c>
      <c r="G249" s="186" t="s">
        <v>70</v>
      </c>
      <c r="H249" s="184" t="s">
        <v>71</v>
      </c>
      <c r="T249" s="184" t="s">
        <v>152</v>
      </c>
    </row>
    <row r="250" spans="1:20">
      <c r="A250" s="182">
        <v>43929</v>
      </c>
      <c r="B250" s="183">
        <v>0.38825231481481487</v>
      </c>
      <c r="C250" s="184" t="s">
        <v>67</v>
      </c>
      <c r="D250" s="184" t="s">
        <v>78</v>
      </c>
      <c r="E250" s="184" t="s">
        <v>19</v>
      </c>
      <c r="F250" s="182">
        <v>44000</v>
      </c>
      <c r="G250" s="186" t="s">
        <v>114</v>
      </c>
      <c r="H250" s="184" t="s">
        <v>279</v>
      </c>
    </row>
    <row r="251" spans="1:20">
      <c r="A251" s="182">
        <v>43929</v>
      </c>
      <c r="B251" s="183">
        <v>0.39871527777777777</v>
      </c>
      <c r="C251" s="184" t="s">
        <v>67</v>
      </c>
      <c r="D251" s="184" t="s">
        <v>68</v>
      </c>
      <c r="E251" s="184" t="s">
        <v>96</v>
      </c>
      <c r="F251" s="182">
        <v>43932</v>
      </c>
      <c r="G251" s="186" t="s">
        <v>99</v>
      </c>
      <c r="H251" s="184" t="s">
        <v>259</v>
      </c>
      <c r="T251" s="184" t="s">
        <v>192</v>
      </c>
    </row>
    <row r="252" spans="1:20">
      <c r="A252" s="182">
        <v>43929</v>
      </c>
      <c r="B252" s="183">
        <v>0.43591435185185184</v>
      </c>
      <c r="C252" s="184" t="s">
        <v>67</v>
      </c>
      <c r="D252" s="184" t="s">
        <v>68</v>
      </c>
      <c r="E252" s="184" t="s">
        <v>95</v>
      </c>
      <c r="F252" s="182">
        <v>43959</v>
      </c>
      <c r="G252" s="186" t="s">
        <v>99</v>
      </c>
      <c r="H252" s="184" t="s">
        <v>76</v>
      </c>
      <c r="T252" s="184" t="s">
        <v>149</v>
      </c>
    </row>
    <row r="253" spans="1:20">
      <c r="A253" s="182">
        <v>43929</v>
      </c>
      <c r="B253" s="183">
        <v>0.43635416666666665</v>
      </c>
      <c r="C253" s="184" t="s">
        <v>67</v>
      </c>
      <c r="D253" s="184" t="s">
        <v>68</v>
      </c>
      <c r="E253" s="184" t="s">
        <v>45</v>
      </c>
      <c r="F253" s="182">
        <v>43994</v>
      </c>
      <c r="G253" s="186" t="s">
        <v>94</v>
      </c>
      <c r="H253" s="184" t="s">
        <v>273</v>
      </c>
      <c r="T253" s="184" t="s">
        <v>149</v>
      </c>
    </row>
    <row r="254" spans="1:20">
      <c r="A254" s="182">
        <v>43929</v>
      </c>
      <c r="B254" s="183">
        <v>0.47649305555555554</v>
      </c>
      <c r="C254" s="184" t="s">
        <v>67</v>
      </c>
      <c r="D254" s="184" t="s">
        <v>91</v>
      </c>
      <c r="E254" s="184" t="s">
        <v>85</v>
      </c>
      <c r="F254" s="182">
        <v>44042</v>
      </c>
      <c r="G254" s="186" t="s">
        <v>70</v>
      </c>
      <c r="H254" s="184" t="s">
        <v>93</v>
      </c>
    </row>
    <row r="255" spans="1:20">
      <c r="A255" s="182">
        <v>43929</v>
      </c>
      <c r="B255" s="183">
        <v>0.48126157407407405</v>
      </c>
      <c r="C255" s="184" t="s">
        <v>67</v>
      </c>
      <c r="D255" s="184" t="s">
        <v>78</v>
      </c>
      <c r="E255" s="184" t="s">
        <v>45</v>
      </c>
      <c r="F255" s="182">
        <v>43994</v>
      </c>
      <c r="G255" s="186" t="s">
        <v>114</v>
      </c>
      <c r="H255" s="184" t="s">
        <v>280</v>
      </c>
    </row>
    <row r="256" spans="1:20">
      <c r="A256" s="182">
        <v>43929</v>
      </c>
      <c r="B256" s="183">
        <v>0.481412037037037</v>
      </c>
      <c r="C256" s="184" t="s">
        <v>67</v>
      </c>
      <c r="D256" s="184" t="s">
        <v>78</v>
      </c>
      <c r="E256" s="184" t="s">
        <v>19</v>
      </c>
      <c r="F256" s="182">
        <v>44070</v>
      </c>
      <c r="G256" s="186" t="s">
        <v>114</v>
      </c>
      <c r="H256" s="184" t="s">
        <v>267</v>
      </c>
    </row>
    <row r="257" spans="1:20">
      <c r="A257" s="182">
        <v>43929</v>
      </c>
      <c r="B257" s="183">
        <v>0.48172453703703705</v>
      </c>
      <c r="C257" s="184" t="s">
        <v>67</v>
      </c>
      <c r="D257" s="184" t="s">
        <v>78</v>
      </c>
      <c r="E257" s="184" t="s">
        <v>96</v>
      </c>
      <c r="F257" s="182">
        <v>44142</v>
      </c>
      <c r="G257" s="186" t="s">
        <v>94</v>
      </c>
      <c r="H257" s="184" t="s">
        <v>107</v>
      </c>
    </row>
    <row r="258" spans="1:20">
      <c r="A258" s="182">
        <v>43929</v>
      </c>
      <c r="B258" s="183">
        <v>0.58001157407407411</v>
      </c>
      <c r="C258" s="184" t="s">
        <v>67</v>
      </c>
      <c r="D258" s="184" t="s">
        <v>68</v>
      </c>
      <c r="E258" s="184" t="s">
        <v>45</v>
      </c>
      <c r="F258" s="182">
        <v>44086</v>
      </c>
      <c r="G258" s="186" t="s">
        <v>94</v>
      </c>
      <c r="H258" s="184" t="s">
        <v>76</v>
      </c>
      <c r="T258" s="184" t="s">
        <v>257</v>
      </c>
    </row>
    <row r="259" spans="1:20">
      <c r="A259" s="182">
        <v>43930</v>
      </c>
      <c r="B259" s="183">
        <v>0.39884259259259264</v>
      </c>
      <c r="C259" s="184" t="s">
        <v>73</v>
      </c>
      <c r="D259" s="184" t="s">
        <v>78</v>
      </c>
      <c r="E259" s="184" t="s">
        <v>45</v>
      </c>
      <c r="F259" s="182">
        <v>43994</v>
      </c>
      <c r="G259" s="186" t="s">
        <v>114</v>
      </c>
      <c r="H259" s="184" t="s">
        <v>208</v>
      </c>
    </row>
    <row r="260" spans="1:20">
      <c r="A260" s="182">
        <v>43930</v>
      </c>
      <c r="B260" s="183">
        <v>0.4136111111111111</v>
      </c>
      <c r="C260" s="184" t="s">
        <v>73</v>
      </c>
      <c r="D260" s="184" t="s">
        <v>78</v>
      </c>
      <c r="E260" s="184" t="s">
        <v>96</v>
      </c>
      <c r="F260" s="182">
        <v>43981</v>
      </c>
      <c r="G260" s="186" t="s">
        <v>238</v>
      </c>
      <c r="H260" s="184" t="s">
        <v>233</v>
      </c>
    </row>
    <row r="261" spans="1:20">
      <c r="A261" s="182">
        <v>43930</v>
      </c>
      <c r="B261" s="183">
        <v>0.41394675925925922</v>
      </c>
      <c r="C261" s="184" t="s">
        <v>73</v>
      </c>
      <c r="D261" s="184" t="s">
        <v>78</v>
      </c>
      <c r="E261" s="184" t="s">
        <v>96</v>
      </c>
      <c r="F261" s="182">
        <v>43932</v>
      </c>
      <c r="G261" s="186" t="s">
        <v>99</v>
      </c>
      <c r="H261" s="184" t="s">
        <v>86</v>
      </c>
    </row>
    <row r="262" spans="1:20">
      <c r="A262" s="182">
        <v>43930</v>
      </c>
      <c r="B262" s="183">
        <v>0.41549768518518521</v>
      </c>
      <c r="C262" s="184" t="s">
        <v>73</v>
      </c>
      <c r="D262" s="184" t="s">
        <v>78</v>
      </c>
      <c r="E262" s="184" t="s">
        <v>45</v>
      </c>
      <c r="F262" s="182">
        <v>43967</v>
      </c>
      <c r="G262" s="186" t="s">
        <v>236</v>
      </c>
      <c r="H262" s="184" t="s">
        <v>233</v>
      </c>
    </row>
    <row r="263" spans="1:20">
      <c r="A263" s="182">
        <v>43930</v>
      </c>
      <c r="B263" s="183">
        <v>0.54865740740740743</v>
      </c>
      <c r="C263" s="184" t="s">
        <v>73</v>
      </c>
      <c r="D263" s="184" t="s">
        <v>91</v>
      </c>
      <c r="E263" s="184" t="s">
        <v>95</v>
      </c>
      <c r="F263" s="182">
        <v>43959</v>
      </c>
      <c r="G263" s="186" t="s">
        <v>115</v>
      </c>
      <c r="H263" s="184" t="s">
        <v>93</v>
      </c>
    </row>
    <row r="264" spans="1:20">
      <c r="A264" s="182">
        <v>43930</v>
      </c>
      <c r="B264" s="183">
        <v>0.57950231481481485</v>
      </c>
      <c r="C264" s="184" t="s">
        <v>73</v>
      </c>
      <c r="D264" s="184" t="s">
        <v>68</v>
      </c>
      <c r="E264" s="184" t="s">
        <v>19</v>
      </c>
      <c r="F264" s="182">
        <v>43945</v>
      </c>
      <c r="G264" s="186" t="s">
        <v>99</v>
      </c>
      <c r="H264" s="184" t="s">
        <v>101</v>
      </c>
      <c r="T264" s="184" t="s">
        <v>281</v>
      </c>
    </row>
    <row r="265" spans="1:20">
      <c r="A265" s="182">
        <v>43930</v>
      </c>
      <c r="B265" s="183">
        <v>0.62652777777777779</v>
      </c>
      <c r="C265" s="184" t="s">
        <v>67</v>
      </c>
      <c r="D265" s="184" t="s">
        <v>68</v>
      </c>
      <c r="E265" s="184" t="s">
        <v>85</v>
      </c>
      <c r="F265" s="182">
        <v>43948</v>
      </c>
      <c r="G265" s="186" t="s">
        <v>115</v>
      </c>
      <c r="H265" s="184" t="s">
        <v>222</v>
      </c>
      <c r="T265" s="184" t="s">
        <v>262</v>
      </c>
    </row>
    <row r="266" spans="1:20">
      <c r="A266" s="182">
        <v>43930</v>
      </c>
      <c r="B266" s="183">
        <v>0.62700231481481483</v>
      </c>
      <c r="C266" s="184" t="s">
        <v>67</v>
      </c>
      <c r="D266" s="184" t="s">
        <v>68</v>
      </c>
      <c r="E266" s="184" t="s">
        <v>85</v>
      </c>
      <c r="F266" s="182">
        <v>44091</v>
      </c>
      <c r="G266" s="186" t="s">
        <v>70</v>
      </c>
      <c r="H266" s="184" t="s">
        <v>71</v>
      </c>
      <c r="T266" s="184" t="s">
        <v>181</v>
      </c>
    </row>
    <row r="267" spans="1:20">
      <c r="A267" s="182">
        <v>43930</v>
      </c>
      <c r="B267" s="183">
        <v>0.63238425925925923</v>
      </c>
      <c r="C267" s="184" t="s">
        <v>67</v>
      </c>
      <c r="D267" s="184" t="s">
        <v>68</v>
      </c>
      <c r="E267" s="184" t="s">
        <v>89</v>
      </c>
      <c r="F267" s="182">
        <v>43973</v>
      </c>
      <c r="G267" s="186" t="s">
        <v>99</v>
      </c>
      <c r="H267" s="184" t="s">
        <v>71</v>
      </c>
      <c r="T267" s="184" t="s">
        <v>150</v>
      </c>
    </row>
    <row r="268" spans="1:20">
      <c r="A268" s="182">
        <v>43930</v>
      </c>
      <c r="B268" s="183">
        <v>0.6334953703703704</v>
      </c>
      <c r="C268" s="184" t="s">
        <v>67</v>
      </c>
      <c r="D268" s="184" t="s">
        <v>68</v>
      </c>
      <c r="E268" s="184" t="s">
        <v>89</v>
      </c>
      <c r="F268" s="182">
        <v>44120</v>
      </c>
      <c r="G268" s="186" t="s">
        <v>94</v>
      </c>
      <c r="H268" s="184" t="s">
        <v>76</v>
      </c>
      <c r="T268" s="184" t="s">
        <v>150</v>
      </c>
    </row>
    <row r="269" spans="1:20">
      <c r="A269" s="182">
        <v>43930</v>
      </c>
      <c r="B269" s="183">
        <v>0.67874999999999996</v>
      </c>
      <c r="C269" s="184" t="s">
        <v>67</v>
      </c>
      <c r="D269" s="184" t="s">
        <v>68</v>
      </c>
      <c r="E269" s="184" t="s">
        <v>95</v>
      </c>
      <c r="F269" s="182">
        <v>43959</v>
      </c>
      <c r="G269" s="186" t="s">
        <v>115</v>
      </c>
      <c r="H269" s="184" t="s">
        <v>222</v>
      </c>
      <c r="T269" s="184" t="s">
        <v>242</v>
      </c>
    </row>
    <row r="270" spans="1:20">
      <c r="A270" s="182">
        <v>43930</v>
      </c>
      <c r="B270" s="183">
        <v>0.67940972222222218</v>
      </c>
      <c r="C270" s="184" t="s">
        <v>67</v>
      </c>
      <c r="D270" s="184" t="s">
        <v>68</v>
      </c>
      <c r="E270" s="184" t="s">
        <v>95</v>
      </c>
      <c r="F270" s="182">
        <v>44021</v>
      </c>
      <c r="G270" s="186" t="s">
        <v>75</v>
      </c>
      <c r="H270" s="184" t="s">
        <v>76</v>
      </c>
      <c r="T270" s="184" t="s">
        <v>242</v>
      </c>
    </row>
    <row r="271" spans="1:20">
      <c r="A271" s="182">
        <v>43930</v>
      </c>
      <c r="B271" s="183">
        <v>0.6856944444444445</v>
      </c>
      <c r="C271" s="184" t="s">
        <v>67</v>
      </c>
      <c r="D271" s="184" t="s">
        <v>91</v>
      </c>
      <c r="E271" s="184" t="s">
        <v>85</v>
      </c>
      <c r="F271" s="182">
        <v>43948</v>
      </c>
      <c r="G271" s="186" t="s">
        <v>99</v>
      </c>
      <c r="H271" s="184" t="s">
        <v>278</v>
      </c>
    </row>
    <row r="272" spans="1:20">
      <c r="A272" s="182">
        <v>43930</v>
      </c>
      <c r="B272" s="183">
        <v>0.68581018518518511</v>
      </c>
      <c r="C272" s="184" t="s">
        <v>67</v>
      </c>
      <c r="D272" s="184" t="s">
        <v>91</v>
      </c>
      <c r="E272" s="184" t="s">
        <v>85</v>
      </c>
      <c r="F272" s="182">
        <v>44042</v>
      </c>
      <c r="G272" s="186" t="s">
        <v>94</v>
      </c>
      <c r="H272" s="184" t="s">
        <v>92</v>
      </c>
    </row>
    <row r="273" spans="1:20">
      <c r="A273" s="182">
        <v>43930</v>
      </c>
      <c r="B273" s="183">
        <v>0.68594907407407402</v>
      </c>
      <c r="C273" s="184" t="s">
        <v>67</v>
      </c>
      <c r="D273" s="184" t="s">
        <v>91</v>
      </c>
      <c r="E273" s="184" t="s">
        <v>89</v>
      </c>
      <c r="F273" s="182">
        <v>43973</v>
      </c>
      <c r="G273" s="186" t="s">
        <v>99</v>
      </c>
      <c r="H273" s="184" t="s">
        <v>278</v>
      </c>
    </row>
    <row r="274" spans="1:20">
      <c r="A274" s="182">
        <v>43930</v>
      </c>
      <c r="B274" s="183">
        <v>0.68601851851851858</v>
      </c>
      <c r="C274" s="184" t="s">
        <v>67</v>
      </c>
      <c r="D274" s="184" t="s">
        <v>91</v>
      </c>
      <c r="E274" s="184" t="s">
        <v>89</v>
      </c>
      <c r="F274" s="182">
        <v>44120</v>
      </c>
      <c r="G274" s="186" t="s">
        <v>70</v>
      </c>
      <c r="H274" s="184" t="s">
        <v>93</v>
      </c>
    </row>
    <row r="275" spans="1:20">
      <c r="A275" s="182">
        <v>43931</v>
      </c>
      <c r="B275" s="183">
        <v>0.41271990740740744</v>
      </c>
      <c r="C275" s="184" t="s">
        <v>67</v>
      </c>
      <c r="D275" s="184" t="s">
        <v>78</v>
      </c>
      <c r="E275" s="184" t="s">
        <v>85</v>
      </c>
      <c r="F275" s="182">
        <v>43948</v>
      </c>
      <c r="G275" s="186" t="s">
        <v>99</v>
      </c>
      <c r="H275" s="184" t="s">
        <v>233</v>
      </c>
    </row>
    <row r="276" spans="1:20">
      <c r="A276" s="182">
        <v>43931</v>
      </c>
      <c r="B276" s="183">
        <v>0.41281250000000003</v>
      </c>
      <c r="C276" s="184" t="s">
        <v>67</v>
      </c>
      <c r="D276" s="184" t="s">
        <v>78</v>
      </c>
      <c r="E276" s="184" t="s">
        <v>89</v>
      </c>
      <c r="F276" s="182">
        <v>43973</v>
      </c>
      <c r="G276" s="186" t="s">
        <v>115</v>
      </c>
      <c r="H276" s="184" t="s">
        <v>233</v>
      </c>
    </row>
    <row r="277" spans="1:20">
      <c r="A277" s="182">
        <v>43931</v>
      </c>
      <c r="B277" s="183">
        <v>0.41288194444444443</v>
      </c>
      <c r="C277" s="184" t="s">
        <v>67</v>
      </c>
      <c r="D277" s="184" t="s">
        <v>78</v>
      </c>
      <c r="E277" s="184" t="s">
        <v>89</v>
      </c>
      <c r="F277" s="182">
        <v>44120</v>
      </c>
      <c r="G277" s="186" t="s">
        <v>70</v>
      </c>
      <c r="H277" s="184" t="s">
        <v>86</v>
      </c>
    </row>
    <row r="278" spans="1:20">
      <c r="A278" s="182">
        <v>43931</v>
      </c>
      <c r="B278" s="183">
        <v>0.54599537037037038</v>
      </c>
      <c r="C278" s="184" t="s">
        <v>67</v>
      </c>
      <c r="D278" s="184" t="s">
        <v>68</v>
      </c>
      <c r="E278" s="184" t="s">
        <v>89</v>
      </c>
      <c r="F278" s="182">
        <v>43973</v>
      </c>
      <c r="G278" s="186" t="s">
        <v>99</v>
      </c>
      <c r="H278" s="184" t="s">
        <v>222</v>
      </c>
      <c r="T278" s="184" t="s">
        <v>282</v>
      </c>
    </row>
    <row r="279" spans="1:20">
      <c r="A279" s="182">
        <v>43931</v>
      </c>
      <c r="B279" s="183">
        <v>0.54653935185185187</v>
      </c>
      <c r="C279" s="184" t="s">
        <v>67</v>
      </c>
      <c r="D279" s="184" t="s">
        <v>68</v>
      </c>
      <c r="E279" s="184" t="s">
        <v>89</v>
      </c>
      <c r="F279" s="182">
        <v>44120</v>
      </c>
      <c r="G279" s="186" t="s">
        <v>94</v>
      </c>
      <c r="H279" s="184" t="s">
        <v>87</v>
      </c>
      <c r="T279" s="184" t="s">
        <v>283</v>
      </c>
    </row>
    <row r="280" spans="1:20">
      <c r="A280" s="182">
        <v>43934</v>
      </c>
      <c r="B280" s="183">
        <v>0.4079861111111111</v>
      </c>
      <c r="C280" s="184" t="s">
        <v>67</v>
      </c>
      <c r="D280" s="184" t="s">
        <v>78</v>
      </c>
      <c r="E280" s="184" t="s">
        <v>69</v>
      </c>
      <c r="F280" s="182">
        <v>44001</v>
      </c>
      <c r="G280" s="186" t="s">
        <v>94</v>
      </c>
      <c r="H280" s="184" t="s">
        <v>107</v>
      </c>
    </row>
    <row r="281" spans="1:20">
      <c r="A281" s="182">
        <v>43934</v>
      </c>
      <c r="B281" s="183">
        <v>0.40831018518518519</v>
      </c>
      <c r="C281" s="184" t="s">
        <v>67</v>
      </c>
      <c r="D281" s="184" t="s">
        <v>78</v>
      </c>
      <c r="E281" s="184" t="s">
        <v>89</v>
      </c>
      <c r="F281" s="182">
        <v>44120</v>
      </c>
      <c r="G281" s="186" t="s">
        <v>94</v>
      </c>
      <c r="H281" s="184" t="s">
        <v>107</v>
      </c>
    </row>
    <row r="282" spans="1:20">
      <c r="A282" s="182">
        <v>43934</v>
      </c>
      <c r="B282" s="183">
        <v>0.40895833333333331</v>
      </c>
      <c r="C282" s="184" t="s">
        <v>67</v>
      </c>
      <c r="D282" s="184" t="s">
        <v>91</v>
      </c>
      <c r="E282" s="184" t="s">
        <v>95</v>
      </c>
      <c r="F282" s="182">
        <v>43959</v>
      </c>
      <c r="G282" s="186" t="s">
        <v>94</v>
      </c>
      <c r="H282" s="184" t="s">
        <v>92</v>
      </c>
    </row>
    <row r="283" spans="1:20">
      <c r="A283" s="182">
        <v>43934</v>
      </c>
      <c r="B283" s="183">
        <v>0.45520833333333338</v>
      </c>
      <c r="C283" s="184" t="s">
        <v>73</v>
      </c>
      <c r="D283" s="184" t="s">
        <v>68</v>
      </c>
      <c r="E283" s="184" t="s">
        <v>124</v>
      </c>
      <c r="F283" s="182">
        <v>44029</v>
      </c>
      <c r="G283" s="186" t="s">
        <v>94</v>
      </c>
      <c r="H283" s="184" t="s">
        <v>206</v>
      </c>
      <c r="T283" s="184" t="s">
        <v>284</v>
      </c>
    </row>
    <row r="284" spans="1:20">
      <c r="A284" s="182">
        <v>43934</v>
      </c>
      <c r="B284" s="183">
        <v>0.4679976851851852</v>
      </c>
      <c r="C284" s="184" t="s">
        <v>67</v>
      </c>
      <c r="D284" s="184" t="s">
        <v>78</v>
      </c>
      <c r="E284" s="184" t="s">
        <v>45</v>
      </c>
      <c r="F284" s="182">
        <v>43994</v>
      </c>
      <c r="G284" s="186" t="s">
        <v>114</v>
      </c>
      <c r="H284" s="184" t="s">
        <v>224</v>
      </c>
    </row>
    <row r="285" spans="1:20">
      <c r="A285" s="182">
        <v>43934</v>
      </c>
      <c r="B285" s="183">
        <v>0.46818287037037037</v>
      </c>
      <c r="C285" s="184" t="s">
        <v>67</v>
      </c>
      <c r="D285" s="184" t="s">
        <v>78</v>
      </c>
      <c r="E285" s="184" t="s">
        <v>96</v>
      </c>
      <c r="F285" s="182">
        <v>44025</v>
      </c>
      <c r="G285" s="186" t="s">
        <v>70</v>
      </c>
      <c r="H285" s="184" t="s">
        <v>86</v>
      </c>
    </row>
    <row r="286" spans="1:20">
      <c r="A286" s="182">
        <v>43934</v>
      </c>
      <c r="B286" s="183">
        <v>0.4682986111111111</v>
      </c>
      <c r="C286" s="184" t="s">
        <v>67</v>
      </c>
      <c r="D286" s="184" t="s">
        <v>78</v>
      </c>
      <c r="E286" s="184" t="s">
        <v>204</v>
      </c>
      <c r="F286" s="182">
        <v>43993</v>
      </c>
      <c r="G286" s="186" t="s">
        <v>70</v>
      </c>
      <c r="H286" s="184" t="s">
        <v>86</v>
      </c>
    </row>
    <row r="287" spans="1:20">
      <c r="A287" s="182">
        <v>43934</v>
      </c>
      <c r="B287" s="183">
        <v>0.4684490740740741</v>
      </c>
      <c r="C287" s="184" t="s">
        <v>67</v>
      </c>
      <c r="D287" s="184" t="s">
        <v>78</v>
      </c>
      <c r="E287" s="184" t="s">
        <v>85</v>
      </c>
      <c r="F287" s="182">
        <v>44042</v>
      </c>
      <c r="G287" s="186" t="s">
        <v>70</v>
      </c>
      <c r="H287" s="184" t="s">
        <v>86</v>
      </c>
    </row>
    <row r="288" spans="1:20">
      <c r="A288" s="182">
        <v>43934</v>
      </c>
      <c r="B288" s="183">
        <v>0.48686342592592591</v>
      </c>
      <c r="C288" s="184" t="s">
        <v>67</v>
      </c>
      <c r="D288" s="184" t="s">
        <v>68</v>
      </c>
      <c r="E288" s="184" t="s">
        <v>96</v>
      </c>
      <c r="F288" s="182">
        <v>43981</v>
      </c>
      <c r="G288" s="186" t="s">
        <v>99</v>
      </c>
      <c r="H288" s="184" t="s">
        <v>71</v>
      </c>
      <c r="T288" s="184" t="s">
        <v>219</v>
      </c>
    </row>
    <row r="289" spans="1:20">
      <c r="A289" s="182">
        <v>43934</v>
      </c>
      <c r="B289" s="183">
        <v>0.48734953703703704</v>
      </c>
      <c r="C289" s="184" t="s">
        <v>67</v>
      </c>
      <c r="D289" s="184" t="s">
        <v>68</v>
      </c>
      <c r="E289" s="184" t="s">
        <v>96</v>
      </c>
      <c r="F289" s="182">
        <v>44092</v>
      </c>
      <c r="G289" s="186" t="s">
        <v>70</v>
      </c>
      <c r="H289" s="184" t="s">
        <v>71</v>
      </c>
      <c r="T289" s="184" t="s">
        <v>219</v>
      </c>
    </row>
    <row r="290" spans="1:20">
      <c r="A290" s="182">
        <v>43934</v>
      </c>
      <c r="B290" s="183">
        <v>0.61715277777777777</v>
      </c>
      <c r="C290" s="184" t="s">
        <v>73</v>
      </c>
      <c r="D290" s="184" t="s">
        <v>68</v>
      </c>
      <c r="E290" s="184" t="s">
        <v>19</v>
      </c>
      <c r="F290" s="182">
        <v>43945</v>
      </c>
      <c r="G290" s="186" t="s">
        <v>99</v>
      </c>
      <c r="H290" s="184" t="s">
        <v>87</v>
      </c>
      <c r="T290" s="184" t="s">
        <v>88</v>
      </c>
    </row>
    <row r="291" spans="1:20">
      <c r="A291" s="182">
        <v>43934</v>
      </c>
      <c r="B291" s="183">
        <v>0.64099537037037035</v>
      </c>
      <c r="C291" s="184" t="s">
        <v>67</v>
      </c>
      <c r="D291" s="184" t="s">
        <v>91</v>
      </c>
      <c r="E291" s="184" t="s">
        <v>96</v>
      </c>
      <c r="F291" s="182">
        <v>44025</v>
      </c>
      <c r="G291" s="186" t="s">
        <v>94</v>
      </c>
      <c r="H291" s="184" t="s">
        <v>227</v>
      </c>
    </row>
    <row r="292" spans="1:20">
      <c r="A292" s="182">
        <v>43934</v>
      </c>
      <c r="B292" s="183">
        <v>0.66699074074074083</v>
      </c>
      <c r="C292" s="184" t="s">
        <v>67</v>
      </c>
      <c r="D292" s="184" t="s">
        <v>159</v>
      </c>
      <c r="E292" s="184" t="s">
        <v>96</v>
      </c>
      <c r="F292" s="182">
        <v>44142</v>
      </c>
      <c r="G292" s="186" t="s">
        <v>70</v>
      </c>
      <c r="H292" s="184" t="s">
        <v>216</v>
      </c>
    </row>
    <row r="293" spans="1:20">
      <c r="A293" s="182">
        <v>43935</v>
      </c>
      <c r="B293" s="183">
        <v>0.46850694444444446</v>
      </c>
      <c r="C293" s="184" t="s">
        <v>67</v>
      </c>
      <c r="D293" s="184" t="s">
        <v>91</v>
      </c>
      <c r="E293" s="184" t="s">
        <v>96</v>
      </c>
      <c r="F293" s="182">
        <v>44025</v>
      </c>
      <c r="G293" s="186" t="s">
        <v>94</v>
      </c>
      <c r="H293" s="184" t="s">
        <v>285</v>
      </c>
    </row>
    <row r="294" spans="1:20">
      <c r="A294" s="182">
        <v>43935</v>
      </c>
      <c r="B294" s="183">
        <v>0.46886574074074078</v>
      </c>
      <c r="C294" s="184" t="s">
        <v>67</v>
      </c>
      <c r="D294" s="184" t="s">
        <v>78</v>
      </c>
      <c r="E294" s="184" t="s">
        <v>69</v>
      </c>
      <c r="F294" s="182">
        <v>44001</v>
      </c>
      <c r="G294" s="186" t="s">
        <v>94</v>
      </c>
      <c r="H294" s="184" t="s">
        <v>106</v>
      </c>
    </row>
    <row r="295" spans="1:20">
      <c r="A295" s="182">
        <v>43935</v>
      </c>
      <c r="B295" s="183">
        <v>0.62312500000000004</v>
      </c>
      <c r="C295" s="184" t="s">
        <v>67</v>
      </c>
      <c r="D295" s="184" t="s">
        <v>78</v>
      </c>
      <c r="E295" s="184" t="s">
        <v>124</v>
      </c>
      <c r="F295" s="182">
        <v>44029</v>
      </c>
      <c r="G295" s="186" t="s">
        <v>70</v>
      </c>
      <c r="H295" s="184" t="s">
        <v>86</v>
      </c>
    </row>
    <row r="296" spans="1:20">
      <c r="A296" s="182">
        <v>43936</v>
      </c>
      <c r="B296" s="183">
        <v>0.40216435185185184</v>
      </c>
      <c r="C296" s="184" t="s">
        <v>67</v>
      </c>
      <c r="D296" s="184" t="s">
        <v>91</v>
      </c>
      <c r="E296" s="184" t="s">
        <v>95</v>
      </c>
      <c r="F296" s="182">
        <v>43959</v>
      </c>
      <c r="G296" s="186" t="s">
        <v>99</v>
      </c>
      <c r="H296" s="184" t="s">
        <v>93</v>
      </c>
    </row>
    <row r="297" spans="1:20">
      <c r="A297" s="182">
        <v>43937</v>
      </c>
      <c r="B297" s="183">
        <v>0.63724537037037032</v>
      </c>
      <c r="C297" s="184" t="s">
        <v>67</v>
      </c>
      <c r="D297" s="184" t="s">
        <v>159</v>
      </c>
      <c r="E297" s="184" t="s">
        <v>204</v>
      </c>
      <c r="F297" s="182">
        <v>43993</v>
      </c>
      <c r="G297" s="186" t="s">
        <v>70</v>
      </c>
      <c r="H297" s="184" t="s">
        <v>216</v>
      </c>
    </row>
    <row r="298" spans="1:20">
      <c r="A298" s="182">
        <v>43938</v>
      </c>
      <c r="B298" s="183">
        <v>0.42413194444444446</v>
      </c>
      <c r="C298" s="184" t="s">
        <v>67</v>
      </c>
      <c r="D298" s="184" t="s">
        <v>91</v>
      </c>
      <c r="E298" s="184" t="s">
        <v>96</v>
      </c>
      <c r="F298" s="182">
        <v>44025</v>
      </c>
      <c r="G298" s="186" t="s">
        <v>112</v>
      </c>
      <c r="H298" s="184" t="s">
        <v>189</v>
      </c>
    </row>
    <row r="299" spans="1:20">
      <c r="A299" s="182">
        <v>43938</v>
      </c>
      <c r="B299" s="183">
        <v>0.45854166666666668</v>
      </c>
      <c r="C299" s="184" t="s">
        <v>67</v>
      </c>
      <c r="D299" s="184" t="s">
        <v>68</v>
      </c>
      <c r="E299" s="184" t="s">
        <v>19</v>
      </c>
      <c r="F299" s="182">
        <v>44000</v>
      </c>
      <c r="G299" s="186" t="s">
        <v>115</v>
      </c>
      <c r="H299" s="184" t="s">
        <v>213</v>
      </c>
      <c r="T299" s="184" t="s">
        <v>242</v>
      </c>
    </row>
    <row r="300" spans="1:20">
      <c r="A300" s="182">
        <v>43938</v>
      </c>
      <c r="B300" s="183">
        <v>0.45952546296296298</v>
      </c>
      <c r="C300" s="184" t="s">
        <v>67</v>
      </c>
      <c r="D300" s="184" t="s">
        <v>68</v>
      </c>
      <c r="E300" s="184" t="s">
        <v>19</v>
      </c>
      <c r="F300" s="182">
        <v>44070</v>
      </c>
      <c r="G300" s="186" t="s">
        <v>75</v>
      </c>
      <c r="H300" s="184" t="s">
        <v>76</v>
      </c>
      <c r="T300" s="184" t="s">
        <v>242</v>
      </c>
    </row>
    <row r="301" spans="1:20">
      <c r="A301" s="182">
        <v>43938</v>
      </c>
      <c r="B301" s="183">
        <v>0.49108796296296298</v>
      </c>
      <c r="C301" s="184" t="s">
        <v>67</v>
      </c>
      <c r="D301" s="184" t="s">
        <v>78</v>
      </c>
      <c r="E301" s="184" t="s">
        <v>19</v>
      </c>
      <c r="F301" s="182">
        <v>44070</v>
      </c>
      <c r="G301" s="186" t="s">
        <v>264</v>
      </c>
      <c r="H301" s="184" t="s">
        <v>84</v>
      </c>
    </row>
    <row r="302" spans="1:20">
      <c r="A302" s="182">
        <v>43938</v>
      </c>
      <c r="B302" s="183">
        <v>0.55918981481481478</v>
      </c>
      <c r="C302" s="184" t="s">
        <v>67</v>
      </c>
      <c r="D302" s="184" t="s">
        <v>91</v>
      </c>
      <c r="E302" s="184" t="s">
        <v>96</v>
      </c>
      <c r="F302" s="182">
        <v>44025</v>
      </c>
      <c r="G302" s="186" t="s">
        <v>94</v>
      </c>
      <c r="H302" s="184" t="s">
        <v>218</v>
      </c>
    </row>
    <row r="303" spans="1:20">
      <c r="A303" s="182">
        <v>43938</v>
      </c>
      <c r="B303" s="183">
        <v>0.61061342592592593</v>
      </c>
      <c r="C303" s="184" t="s">
        <v>67</v>
      </c>
      <c r="D303" s="184" t="s">
        <v>91</v>
      </c>
      <c r="E303" s="184" t="s">
        <v>96</v>
      </c>
      <c r="F303" s="182">
        <v>44025</v>
      </c>
      <c r="G303" s="186" t="s">
        <v>94</v>
      </c>
      <c r="H303" s="184" t="s">
        <v>193</v>
      </c>
    </row>
    <row r="304" spans="1:20">
      <c r="A304" s="182">
        <v>43938</v>
      </c>
      <c r="B304" s="183">
        <v>0.62435185185185182</v>
      </c>
      <c r="C304" s="184" t="s">
        <v>67</v>
      </c>
      <c r="D304" s="184" t="s">
        <v>68</v>
      </c>
      <c r="E304" s="184" t="s">
        <v>19</v>
      </c>
      <c r="F304" s="182">
        <v>44000</v>
      </c>
      <c r="G304" s="186" t="s">
        <v>99</v>
      </c>
      <c r="H304" s="184" t="s">
        <v>272</v>
      </c>
      <c r="T304" s="184" t="s">
        <v>286</v>
      </c>
    </row>
    <row r="305" spans="1:20">
      <c r="A305" s="182">
        <v>43938</v>
      </c>
      <c r="B305" s="183">
        <v>0.62474537037037037</v>
      </c>
      <c r="C305" s="184" t="s">
        <v>67</v>
      </c>
      <c r="D305" s="184" t="s">
        <v>68</v>
      </c>
      <c r="E305" s="184" t="s">
        <v>19</v>
      </c>
      <c r="F305" s="182">
        <v>44105</v>
      </c>
      <c r="G305" s="186" t="s">
        <v>94</v>
      </c>
      <c r="H305" s="184" t="s">
        <v>76</v>
      </c>
      <c r="T305" s="184" t="s">
        <v>286</v>
      </c>
    </row>
    <row r="306" spans="1:20">
      <c r="A306" s="182">
        <v>43941</v>
      </c>
      <c r="B306" s="183">
        <v>0.54789351851851853</v>
      </c>
      <c r="C306" s="184" t="s">
        <v>67</v>
      </c>
      <c r="D306" s="184" t="s">
        <v>78</v>
      </c>
      <c r="E306" s="184" t="s">
        <v>19</v>
      </c>
      <c r="F306" s="182">
        <v>44070</v>
      </c>
      <c r="G306" s="186" t="s">
        <v>114</v>
      </c>
      <c r="H306" s="184" t="s">
        <v>280</v>
      </c>
    </row>
    <row r="307" spans="1:20">
      <c r="A307" s="182">
        <v>43941</v>
      </c>
      <c r="B307" s="183">
        <v>0.54813657407407412</v>
      </c>
      <c r="C307" s="184" t="s">
        <v>67</v>
      </c>
      <c r="D307" s="184" t="s">
        <v>78</v>
      </c>
      <c r="E307" s="184" t="s">
        <v>19</v>
      </c>
      <c r="F307" s="182">
        <v>44105</v>
      </c>
      <c r="G307" s="186" t="s">
        <v>70</v>
      </c>
      <c r="H307" s="184" t="s">
        <v>86</v>
      </c>
    </row>
    <row r="308" spans="1:20">
      <c r="A308" s="182">
        <v>43942</v>
      </c>
      <c r="B308" s="183">
        <v>0.6537384259259259</v>
      </c>
      <c r="C308" s="184" t="s">
        <v>73</v>
      </c>
      <c r="D308" s="184" t="s">
        <v>78</v>
      </c>
      <c r="E308" s="184" t="s">
        <v>19</v>
      </c>
      <c r="F308" s="182">
        <v>44000</v>
      </c>
      <c r="G308" s="186" t="s">
        <v>287</v>
      </c>
      <c r="H308" s="184" t="s">
        <v>288</v>
      </c>
    </row>
    <row r="309" spans="1:20">
      <c r="A309" s="182">
        <v>43942</v>
      </c>
      <c r="B309" s="183">
        <v>0.6539814814814815</v>
      </c>
      <c r="C309" s="184" t="s">
        <v>73</v>
      </c>
      <c r="D309" s="184" t="s">
        <v>78</v>
      </c>
      <c r="E309" s="184" t="s">
        <v>19</v>
      </c>
      <c r="F309" s="182">
        <v>44070</v>
      </c>
      <c r="G309" s="186" t="s">
        <v>94</v>
      </c>
      <c r="H309" s="184" t="s">
        <v>186</v>
      </c>
    </row>
    <row r="310" spans="1:20">
      <c r="A310" s="182">
        <v>43942</v>
      </c>
      <c r="B310" s="183">
        <v>0.69269675925925922</v>
      </c>
      <c r="C310" s="184" t="s">
        <v>73</v>
      </c>
      <c r="D310" s="184" t="s">
        <v>68</v>
      </c>
      <c r="E310" s="184" t="s">
        <v>69</v>
      </c>
      <c r="F310" s="182">
        <v>44153</v>
      </c>
      <c r="G310" s="186" t="s">
        <v>70</v>
      </c>
      <c r="H310" s="184" t="s">
        <v>71</v>
      </c>
      <c r="T310" s="184" t="s">
        <v>257</v>
      </c>
    </row>
    <row r="311" spans="1:20">
      <c r="A311" s="182">
        <v>43943</v>
      </c>
      <c r="B311" s="183">
        <v>0.47365740740740742</v>
      </c>
      <c r="C311" s="184" t="s">
        <v>67</v>
      </c>
      <c r="D311" s="184" t="s">
        <v>68</v>
      </c>
      <c r="E311" s="184" t="s">
        <v>19</v>
      </c>
      <c r="F311" s="182">
        <v>44000</v>
      </c>
      <c r="G311" s="186" t="s">
        <v>94</v>
      </c>
      <c r="H311" s="184" t="s">
        <v>213</v>
      </c>
      <c r="T311" s="184" t="s">
        <v>88</v>
      </c>
    </row>
    <row r="312" spans="1:20">
      <c r="A312" s="182">
        <v>43944</v>
      </c>
      <c r="B312" s="183">
        <v>0.66763888888888889</v>
      </c>
      <c r="C312" s="184" t="s">
        <v>67</v>
      </c>
      <c r="D312" s="184" t="s">
        <v>68</v>
      </c>
      <c r="E312" s="184" t="s">
        <v>69</v>
      </c>
      <c r="F312" s="182">
        <v>44001</v>
      </c>
      <c r="G312" s="186" t="s">
        <v>94</v>
      </c>
      <c r="H312" s="184" t="s">
        <v>117</v>
      </c>
      <c r="T312" s="184" t="s">
        <v>289</v>
      </c>
    </row>
    <row r="313" spans="1:20">
      <c r="A313" s="182">
        <v>43945</v>
      </c>
      <c r="B313" s="183">
        <v>0.56019675925925927</v>
      </c>
      <c r="C313" s="184" t="s">
        <v>73</v>
      </c>
      <c r="D313" s="184" t="s">
        <v>68</v>
      </c>
      <c r="E313" s="184" t="s">
        <v>96</v>
      </c>
      <c r="F313" s="182">
        <v>43981</v>
      </c>
      <c r="G313" s="186" t="s">
        <v>99</v>
      </c>
      <c r="H313" s="184" t="s">
        <v>222</v>
      </c>
      <c r="T313" s="184" t="s">
        <v>290</v>
      </c>
    </row>
    <row r="314" spans="1:20">
      <c r="A314" s="182">
        <v>43945</v>
      </c>
      <c r="B314" s="183">
        <v>0.56105324074074081</v>
      </c>
      <c r="C314" s="184" t="s">
        <v>73</v>
      </c>
      <c r="D314" s="184" t="s">
        <v>68</v>
      </c>
      <c r="E314" s="184" t="s">
        <v>96</v>
      </c>
      <c r="F314" s="182">
        <v>44092</v>
      </c>
      <c r="G314" s="186" t="s">
        <v>94</v>
      </c>
      <c r="H314" s="184" t="s">
        <v>76</v>
      </c>
      <c r="T314" s="184" t="s">
        <v>290</v>
      </c>
    </row>
    <row r="315" spans="1:20">
      <c r="A315" s="182">
        <v>43948</v>
      </c>
      <c r="B315" s="183">
        <v>0.40468750000000003</v>
      </c>
      <c r="C315" s="184" t="s">
        <v>67</v>
      </c>
      <c r="D315" s="184" t="s">
        <v>68</v>
      </c>
      <c r="E315" s="184" t="s">
        <v>19</v>
      </c>
      <c r="F315" s="182">
        <v>44000</v>
      </c>
      <c r="G315" s="186" t="s">
        <v>115</v>
      </c>
      <c r="H315" s="184" t="s">
        <v>209</v>
      </c>
      <c r="T315" s="184" t="s">
        <v>152</v>
      </c>
    </row>
    <row r="316" spans="1:20">
      <c r="A316" s="182">
        <v>43948</v>
      </c>
      <c r="B316" s="183">
        <v>0.40512731481481484</v>
      </c>
      <c r="C316" s="184" t="s">
        <v>67</v>
      </c>
      <c r="D316" s="184" t="s">
        <v>68</v>
      </c>
      <c r="E316" s="184" t="s">
        <v>19</v>
      </c>
      <c r="F316" s="182">
        <v>44070</v>
      </c>
      <c r="G316" s="186" t="s">
        <v>114</v>
      </c>
      <c r="H316" s="184" t="s">
        <v>101</v>
      </c>
      <c r="T316" s="184" t="s">
        <v>152</v>
      </c>
    </row>
    <row r="317" spans="1:20">
      <c r="A317" s="182">
        <v>43958</v>
      </c>
      <c r="B317" s="183">
        <v>0.48217592592592595</v>
      </c>
      <c r="C317" s="184" t="s">
        <v>67</v>
      </c>
      <c r="D317" s="184" t="s">
        <v>68</v>
      </c>
      <c r="E317" s="184" t="s">
        <v>204</v>
      </c>
      <c r="F317" s="182">
        <v>43993</v>
      </c>
      <c r="G317" s="186" t="s">
        <v>70</v>
      </c>
      <c r="H317" s="184" t="s">
        <v>71</v>
      </c>
      <c r="T317" s="184" t="s">
        <v>291</v>
      </c>
    </row>
    <row r="318" spans="1:20">
      <c r="A318" s="182">
        <v>43958</v>
      </c>
      <c r="B318" s="183">
        <v>0.56853009259259257</v>
      </c>
      <c r="C318" s="184" t="s">
        <v>67</v>
      </c>
      <c r="D318" s="184" t="s">
        <v>78</v>
      </c>
      <c r="E318" s="184" t="s">
        <v>204</v>
      </c>
      <c r="F318" s="182">
        <v>43993</v>
      </c>
      <c r="G318" s="186" t="s">
        <v>94</v>
      </c>
      <c r="H318" s="184" t="s">
        <v>107</v>
      </c>
    </row>
    <row r="319" spans="1:20">
      <c r="A319" s="182">
        <v>43958</v>
      </c>
      <c r="B319" s="183">
        <v>0.63468749999999996</v>
      </c>
      <c r="C319" s="184" t="s">
        <v>73</v>
      </c>
      <c r="D319" s="184" t="s">
        <v>68</v>
      </c>
      <c r="E319" s="184" t="s">
        <v>85</v>
      </c>
      <c r="F319" s="182">
        <v>44042</v>
      </c>
      <c r="G319" s="186" t="s">
        <v>94</v>
      </c>
      <c r="H319" s="184" t="s">
        <v>76</v>
      </c>
      <c r="T319" s="184" t="s">
        <v>292</v>
      </c>
    </row>
    <row r="320" spans="1:20">
      <c r="A320" s="182">
        <v>43959</v>
      </c>
      <c r="B320" s="183">
        <v>0.38840277777777782</v>
      </c>
      <c r="C320" s="184" t="s">
        <v>293</v>
      </c>
      <c r="D320" s="184" t="s">
        <v>78</v>
      </c>
      <c r="E320" s="184" t="s">
        <v>96</v>
      </c>
      <c r="F320" s="182">
        <v>44025</v>
      </c>
      <c r="G320" s="186" t="s">
        <v>94</v>
      </c>
      <c r="H320" s="184" t="s">
        <v>107</v>
      </c>
    </row>
    <row r="321" spans="1:20">
      <c r="A321" s="182">
        <v>43959</v>
      </c>
      <c r="B321" s="183">
        <v>0.63269675925925928</v>
      </c>
      <c r="C321" s="184" t="s">
        <v>67</v>
      </c>
      <c r="D321" s="184" t="s">
        <v>78</v>
      </c>
      <c r="E321" s="184" t="s">
        <v>19</v>
      </c>
      <c r="F321" s="182">
        <v>44105</v>
      </c>
      <c r="G321" s="186" t="s">
        <v>94</v>
      </c>
      <c r="H321" s="184" t="s">
        <v>107</v>
      </c>
    </row>
    <row r="322" spans="1:20">
      <c r="A322" s="182">
        <v>43959</v>
      </c>
      <c r="B322" s="183">
        <v>0.65372685185185186</v>
      </c>
      <c r="C322" s="184" t="s">
        <v>67</v>
      </c>
      <c r="D322" s="184" t="s">
        <v>78</v>
      </c>
      <c r="E322" s="184" t="s">
        <v>96</v>
      </c>
      <c r="F322" s="182">
        <v>44092</v>
      </c>
      <c r="G322" s="186" t="s">
        <v>94</v>
      </c>
      <c r="H322" s="184" t="s">
        <v>113</v>
      </c>
    </row>
    <row r="323" spans="1:20">
      <c r="A323" s="182">
        <v>43962</v>
      </c>
      <c r="B323" s="183">
        <v>0.40768518518518521</v>
      </c>
      <c r="C323" s="184" t="s">
        <v>73</v>
      </c>
      <c r="D323" s="184" t="s">
        <v>68</v>
      </c>
      <c r="E323" s="184" t="s">
        <v>19</v>
      </c>
      <c r="F323" s="182">
        <v>44000</v>
      </c>
      <c r="G323" s="186" t="s">
        <v>115</v>
      </c>
      <c r="H323" s="184" t="s">
        <v>190</v>
      </c>
      <c r="T323" s="184" t="s">
        <v>252</v>
      </c>
    </row>
    <row r="324" spans="1:20">
      <c r="A324" s="182">
        <v>43962</v>
      </c>
      <c r="B324" s="183">
        <v>0.44449074074074074</v>
      </c>
      <c r="C324" s="184" t="s">
        <v>67</v>
      </c>
      <c r="D324" s="184" t="s">
        <v>68</v>
      </c>
      <c r="E324" s="184" t="s">
        <v>19</v>
      </c>
      <c r="F324" s="182">
        <v>44000</v>
      </c>
      <c r="G324" s="186" t="s">
        <v>94</v>
      </c>
      <c r="H324" s="184" t="s">
        <v>206</v>
      </c>
      <c r="T324" s="184" t="s">
        <v>294</v>
      </c>
    </row>
    <row r="325" spans="1:20">
      <c r="A325" s="182">
        <v>43962</v>
      </c>
      <c r="B325" s="183">
        <v>0.65258101851851846</v>
      </c>
      <c r="C325" s="184" t="s">
        <v>73</v>
      </c>
      <c r="D325" s="184" t="s">
        <v>78</v>
      </c>
      <c r="E325" s="184" t="s">
        <v>85</v>
      </c>
      <c r="F325" s="182">
        <v>44042</v>
      </c>
      <c r="G325" s="186" t="s">
        <v>94</v>
      </c>
      <c r="H325" s="184" t="s">
        <v>107</v>
      </c>
    </row>
    <row r="326" spans="1:20">
      <c r="A326" s="182">
        <v>43963</v>
      </c>
      <c r="B326" s="183">
        <v>0.48622685185185183</v>
      </c>
      <c r="C326" s="184" t="s">
        <v>67</v>
      </c>
      <c r="D326" s="184" t="s">
        <v>78</v>
      </c>
      <c r="E326" s="184" t="s">
        <v>45</v>
      </c>
      <c r="F326" s="182">
        <v>43994</v>
      </c>
      <c r="G326" s="186" t="s">
        <v>266</v>
      </c>
      <c r="H326" s="184" t="s">
        <v>84</v>
      </c>
    </row>
    <row r="327" spans="1:20">
      <c r="A327" s="182">
        <v>43963</v>
      </c>
      <c r="B327" s="183">
        <v>0.48635416666666664</v>
      </c>
      <c r="C327" s="184" t="s">
        <v>67</v>
      </c>
      <c r="D327" s="184" t="s">
        <v>78</v>
      </c>
      <c r="E327" s="184" t="s">
        <v>45</v>
      </c>
      <c r="F327" s="182">
        <v>44086</v>
      </c>
      <c r="G327" s="186" t="s">
        <v>264</v>
      </c>
      <c r="H327" s="184" t="s">
        <v>80</v>
      </c>
    </row>
    <row r="328" spans="1:20">
      <c r="A328" s="182">
        <v>43964</v>
      </c>
      <c r="B328" s="183">
        <v>0.57254629629629628</v>
      </c>
      <c r="C328" s="184" t="s">
        <v>73</v>
      </c>
      <c r="D328" s="184" t="s">
        <v>68</v>
      </c>
      <c r="E328" s="184" t="s">
        <v>69</v>
      </c>
      <c r="F328" s="182">
        <v>44001</v>
      </c>
      <c r="G328" s="186" t="s">
        <v>94</v>
      </c>
      <c r="H328" s="184" t="s">
        <v>259</v>
      </c>
      <c r="T328" s="184" t="s">
        <v>149</v>
      </c>
    </row>
    <row r="329" spans="1:20">
      <c r="A329" s="182">
        <v>43964</v>
      </c>
      <c r="B329" s="183">
        <v>0.62458333333333338</v>
      </c>
      <c r="C329" s="184" t="s">
        <v>67</v>
      </c>
      <c r="D329" s="184" t="s">
        <v>91</v>
      </c>
      <c r="E329" s="184" t="s">
        <v>96</v>
      </c>
      <c r="F329" s="182">
        <v>44025</v>
      </c>
      <c r="G329" s="186" t="s">
        <v>114</v>
      </c>
      <c r="H329" s="184" t="s">
        <v>295</v>
      </c>
    </row>
    <row r="330" spans="1:20">
      <c r="A330" s="182">
        <v>43965</v>
      </c>
      <c r="B330" s="183">
        <v>0.65078703703703711</v>
      </c>
      <c r="C330" s="184" t="s">
        <v>67</v>
      </c>
      <c r="D330" s="184" t="s">
        <v>91</v>
      </c>
      <c r="E330" s="184" t="s">
        <v>96</v>
      </c>
      <c r="F330" s="182">
        <v>44025</v>
      </c>
      <c r="G330" s="186" t="s">
        <v>94</v>
      </c>
      <c r="H330" s="184" t="s">
        <v>296</v>
      </c>
    </row>
    <row r="331" spans="1:20">
      <c r="A331" s="182">
        <v>43966</v>
      </c>
      <c r="B331" s="183">
        <v>0.61321759259259256</v>
      </c>
      <c r="C331" s="184" t="s">
        <v>73</v>
      </c>
      <c r="D331" s="184" t="s">
        <v>68</v>
      </c>
      <c r="E331" s="184" t="s">
        <v>19</v>
      </c>
      <c r="F331" s="182">
        <v>44000</v>
      </c>
      <c r="G331" s="186" t="s">
        <v>94</v>
      </c>
      <c r="H331" s="184" t="s">
        <v>209</v>
      </c>
      <c r="T331" s="184" t="s">
        <v>234</v>
      </c>
    </row>
    <row r="332" spans="1:20">
      <c r="A332" s="182">
        <v>43966</v>
      </c>
      <c r="B332" s="183">
        <v>0.62679398148148147</v>
      </c>
      <c r="C332" s="184" t="s">
        <v>73</v>
      </c>
      <c r="D332" s="184" t="s">
        <v>68</v>
      </c>
      <c r="E332" s="184" t="s">
        <v>45</v>
      </c>
      <c r="F332" s="182">
        <v>43994</v>
      </c>
      <c r="G332" s="186" t="s">
        <v>94</v>
      </c>
      <c r="H332" s="184" t="s">
        <v>261</v>
      </c>
      <c r="T332" s="184" t="s">
        <v>234</v>
      </c>
    </row>
    <row r="333" spans="1:20">
      <c r="A333" s="182">
        <v>43969</v>
      </c>
      <c r="B333" s="183">
        <v>0.66721064814814823</v>
      </c>
      <c r="C333" s="184" t="s">
        <v>67</v>
      </c>
      <c r="D333" s="184" t="s">
        <v>78</v>
      </c>
      <c r="E333" s="184" t="s">
        <v>45</v>
      </c>
      <c r="F333" s="182">
        <v>43994</v>
      </c>
      <c r="G333" s="186" t="s">
        <v>94</v>
      </c>
      <c r="H333" s="184" t="s">
        <v>297</v>
      </c>
    </row>
    <row r="334" spans="1:20">
      <c r="A334" s="182">
        <v>43969</v>
      </c>
      <c r="B334" s="183">
        <v>0.69987268518518519</v>
      </c>
      <c r="C334" s="184" t="s">
        <v>67</v>
      </c>
      <c r="D334" s="184" t="s">
        <v>68</v>
      </c>
      <c r="E334" s="184" t="s">
        <v>45</v>
      </c>
      <c r="F334" s="182">
        <v>43994</v>
      </c>
      <c r="G334" s="186" t="s">
        <v>114</v>
      </c>
      <c r="H334" s="184" t="s">
        <v>256</v>
      </c>
      <c r="T334" s="184" t="s">
        <v>298</v>
      </c>
    </row>
    <row r="335" spans="1:20">
      <c r="A335" s="182">
        <v>43971</v>
      </c>
      <c r="B335" s="183">
        <v>0.48300925925925925</v>
      </c>
      <c r="C335" s="184" t="s">
        <v>67</v>
      </c>
      <c r="D335" s="184" t="s">
        <v>68</v>
      </c>
      <c r="E335" s="184" t="s">
        <v>19</v>
      </c>
      <c r="F335" s="182">
        <v>44000</v>
      </c>
      <c r="G335" s="186" t="s">
        <v>115</v>
      </c>
      <c r="H335" s="184" t="s">
        <v>190</v>
      </c>
      <c r="T335" s="184" t="s">
        <v>299</v>
      </c>
    </row>
    <row r="336" spans="1:20">
      <c r="A336" s="182">
        <v>43971</v>
      </c>
      <c r="B336" s="183">
        <v>0.48344907407407406</v>
      </c>
      <c r="C336" s="184" t="s">
        <v>67</v>
      </c>
      <c r="D336" s="184" t="s">
        <v>68</v>
      </c>
      <c r="E336" s="184" t="s">
        <v>19</v>
      </c>
      <c r="F336" s="182">
        <v>44105</v>
      </c>
      <c r="G336" s="186" t="s">
        <v>114</v>
      </c>
      <c r="H336" s="184" t="s">
        <v>101</v>
      </c>
      <c r="T336" s="184" t="s">
        <v>299</v>
      </c>
    </row>
    <row r="337" spans="1:20">
      <c r="A337" s="182">
        <v>43971</v>
      </c>
      <c r="B337" s="183">
        <v>0.56526620370370373</v>
      </c>
      <c r="C337" s="184" t="s">
        <v>67</v>
      </c>
      <c r="D337" s="184" t="s">
        <v>68</v>
      </c>
      <c r="E337" s="184" t="s">
        <v>124</v>
      </c>
      <c r="F337" s="182">
        <v>44029</v>
      </c>
      <c r="G337" s="186" t="s">
        <v>94</v>
      </c>
      <c r="H337" s="184" t="s">
        <v>209</v>
      </c>
      <c r="T337" s="184" t="s">
        <v>300</v>
      </c>
    </row>
    <row r="338" spans="1:20">
      <c r="A338" s="182">
        <v>43971</v>
      </c>
      <c r="B338" s="183">
        <v>0.56628472222222226</v>
      </c>
      <c r="C338" s="184" t="s">
        <v>67</v>
      </c>
      <c r="D338" s="184" t="s">
        <v>68</v>
      </c>
      <c r="E338" s="184" t="s">
        <v>124</v>
      </c>
      <c r="F338" s="182">
        <v>44029</v>
      </c>
      <c r="G338" s="186" t="s">
        <v>99</v>
      </c>
      <c r="H338" s="184" t="s">
        <v>206</v>
      </c>
      <c r="T338" s="184" t="s">
        <v>301</v>
      </c>
    </row>
    <row r="339" spans="1:20">
      <c r="A339" s="182">
        <v>43972</v>
      </c>
      <c r="B339" s="183">
        <v>0.43714120370370368</v>
      </c>
      <c r="C339" s="184" t="s">
        <v>73</v>
      </c>
      <c r="D339" s="184" t="s">
        <v>68</v>
      </c>
      <c r="E339" s="184" t="s">
        <v>19</v>
      </c>
      <c r="F339" s="182">
        <v>44000</v>
      </c>
      <c r="G339" s="186" t="s">
        <v>94</v>
      </c>
      <c r="H339" s="184" t="s">
        <v>206</v>
      </c>
      <c r="T339" s="184" t="s">
        <v>302</v>
      </c>
    </row>
    <row r="340" spans="1:20">
      <c r="A340" s="182">
        <v>43973</v>
      </c>
      <c r="B340" s="183">
        <v>0.38775462962962964</v>
      </c>
      <c r="C340" s="184" t="s">
        <v>67</v>
      </c>
      <c r="D340" s="184" t="s">
        <v>91</v>
      </c>
      <c r="E340" s="184" t="s">
        <v>96</v>
      </c>
      <c r="F340" s="182">
        <v>44025</v>
      </c>
      <c r="G340" s="186" t="s">
        <v>94</v>
      </c>
      <c r="H340" s="184" t="s">
        <v>303</v>
      </c>
    </row>
    <row r="341" spans="1:20">
      <c r="A341" s="182">
        <v>43973</v>
      </c>
      <c r="B341" s="183">
        <v>0.42495370370370367</v>
      </c>
      <c r="C341" s="184" t="s">
        <v>73</v>
      </c>
      <c r="D341" s="184" t="s">
        <v>78</v>
      </c>
      <c r="E341" s="184" t="s">
        <v>19</v>
      </c>
      <c r="F341" s="182">
        <v>44000</v>
      </c>
      <c r="G341" s="186" t="s">
        <v>160</v>
      </c>
      <c r="H341" s="184" t="s">
        <v>106</v>
      </c>
    </row>
    <row r="342" spans="1:20">
      <c r="A342" s="182">
        <v>43973</v>
      </c>
      <c r="B342" s="183">
        <v>0.45373842592592589</v>
      </c>
      <c r="C342" s="184" t="s">
        <v>73</v>
      </c>
      <c r="D342" s="184" t="s">
        <v>68</v>
      </c>
      <c r="E342" s="184" t="s">
        <v>95</v>
      </c>
      <c r="F342" s="182">
        <v>44021</v>
      </c>
      <c r="G342" s="186" t="s">
        <v>94</v>
      </c>
      <c r="H342" s="184" t="s">
        <v>87</v>
      </c>
      <c r="T342" s="184" t="s">
        <v>304</v>
      </c>
    </row>
    <row r="343" spans="1:20">
      <c r="A343" s="182">
        <v>43973</v>
      </c>
      <c r="B343" s="183">
        <v>0.45521990740740742</v>
      </c>
      <c r="C343" s="184" t="s">
        <v>73</v>
      </c>
      <c r="D343" s="184" t="s">
        <v>68</v>
      </c>
      <c r="E343" s="184" t="s">
        <v>96</v>
      </c>
      <c r="F343" s="182">
        <v>44025</v>
      </c>
      <c r="G343" s="186" t="s">
        <v>94</v>
      </c>
      <c r="H343" s="184" t="s">
        <v>101</v>
      </c>
      <c r="T343" s="184" t="s">
        <v>304</v>
      </c>
    </row>
    <row r="344" spans="1:20">
      <c r="A344" s="182">
        <v>43973</v>
      </c>
      <c r="B344" s="183">
        <v>0.70464120370370376</v>
      </c>
      <c r="C344" s="184" t="s">
        <v>73</v>
      </c>
      <c r="D344" s="184" t="s">
        <v>68</v>
      </c>
      <c r="E344" s="184" t="s">
        <v>45</v>
      </c>
      <c r="F344" s="182">
        <v>43994</v>
      </c>
      <c r="G344" s="186" t="s">
        <v>94</v>
      </c>
      <c r="H344" s="184" t="s">
        <v>305</v>
      </c>
      <c r="T344" s="184" t="s">
        <v>306</v>
      </c>
    </row>
    <row r="345" spans="1:20">
      <c r="A345" s="182">
        <v>43976</v>
      </c>
      <c r="B345" s="183">
        <v>0.45390046296296299</v>
      </c>
      <c r="C345" s="184" t="s">
        <v>73</v>
      </c>
      <c r="D345" s="184" t="s">
        <v>68</v>
      </c>
      <c r="E345" s="184" t="s">
        <v>89</v>
      </c>
      <c r="F345" s="182">
        <v>44120</v>
      </c>
      <c r="G345" s="186" t="s">
        <v>94</v>
      </c>
      <c r="H345" s="184" t="s">
        <v>101</v>
      </c>
      <c r="T345" s="184" t="s">
        <v>284</v>
      </c>
    </row>
    <row r="346" spans="1:20">
      <c r="A346" s="182">
        <v>43976</v>
      </c>
      <c r="B346" s="183">
        <v>0.58875</v>
      </c>
      <c r="C346" s="184" t="s">
        <v>67</v>
      </c>
      <c r="D346" s="184" t="s">
        <v>78</v>
      </c>
      <c r="E346" s="184" t="s">
        <v>19</v>
      </c>
      <c r="F346" s="182">
        <v>44070</v>
      </c>
      <c r="G346" s="186" t="s">
        <v>114</v>
      </c>
      <c r="H346" s="184" t="s">
        <v>268</v>
      </c>
    </row>
    <row r="347" spans="1:20">
      <c r="A347" s="182">
        <v>43976</v>
      </c>
      <c r="B347" s="183">
        <v>0.58898148148148144</v>
      </c>
      <c r="C347" s="184" t="s">
        <v>67</v>
      </c>
      <c r="D347" s="184" t="s">
        <v>78</v>
      </c>
      <c r="E347" s="184" t="s">
        <v>96</v>
      </c>
      <c r="F347" s="182">
        <v>44025</v>
      </c>
      <c r="G347" s="186" t="s">
        <v>94</v>
      </c>
      <c r="H347" s="184" t="s">
        <v>106</v>
      </c>
    </row>
    <row r="348" spans="1:20">
      <c r="A348" s="182">
        <v>43976</v>
      </c>
      <c r="B348" s="183">
        <v>0.58923611111111118</v>
      </c>
      <c r="C348" s="184" t="s">
        <v>67</v>
      </c>
      <c r="D348" s="184" t="s">
        <v>91</v>
      </c>
      <c r="E348" s="184" t="s">
        <v>96</v>
      </c>
      <c r="F348" s="182">
        <v>44025</v>
      </c>
      <c r="G348" s="186" t="s">
        <v>99</v>
      </c>
      <c r="H348" s="184" t="s">
        <v>296</v>
      </c>
    </row>
    <row r="349" spans="1:20">
      <c r="A349" s="182">
        <v>43977</v>
      </c>
      <c r="B349" s="183">
        <v>0.45775462962962959</v>
      </c>
      <c r="C349" s="184" t="s">
        <v>67</v>
      </c>
      <c r="D349" s="184" t="s">
        <v>159</v>
      </c>
      <c r="E349" s="184" t="s">
        <v>204</v>
      </c>
      <c r="F349" s="182">
        <v>43993</v>
      </c>
      <c r="G349" s="186" t="s">
        <v>70</v>
      </c>
      <c r="H349" s="184" t="s">
        <v>215</v>
      </c>
    </row>
    <row r="350" spans="1:20">
      <c r="A350" s="182">
        <v>43977</v>
      </c>
      <c r="B350" s="183">
        <v>0.61061342592592593</v>
      </c>
      <c r="C350" s="184" t="s">
        <v>67</v>
      </c>
      <c r="D350" s="184" t="s">
        <v>91</v>
      </c>
      <c r="E350" s="184" t="s">
        <v>96</v>
      </c>
      <c r="F350" s="182">
        <v>44025</v>
      </c>
      <c r="G350" s="186" t="s">
        <v>99</v>
      </c>
      <c r="H350" s="184" t="s">
        <v>295</v>
      </c>
    </row>
    <row r="351" spans="1:20">
      <c r="A351" s="182">
        <v>43977</v>
      </c>
      <c r="B351" s="183">
        <v>0.6109606481481481</v>
      </c>
      <c r="C351" s="184" t="s">
        <v>67</v>
      </c>
      <c r="D351" s="184" t="s">
        <v>78</v>
      </c>
      <c r="E351" s="184" t="s">
        <v>19</v>
      </c>
      <c r="F351" s="182">
        <v>44070</v>
      </c>
      <c r="G351" s="186" t="s">
        <v>94</v>
      </c>
      <c r="H351" s="184" t="s">
        <v>224</v>
      </c>
    </row>
    <row r="352" spans="1:20">
      <c r="A352" s="182">
        <v>43978</v>
      </c>
      <c r="B352" s="183">
        <v>0.38185185185185189</v>
      </c>
      <c r="C352" s="184" t="s">
        <v>67</v>
      </c>
      <c r="D352" s="184" t="s">
        <v>91</v>
      </c>
      <c r="E352" s="184" t="s">
        <v>96</v>
      </c>
      <c r="F352" s="182">
        <v>44025</v>
      </c>
      <c r="G352" s="186" t="s">
        <v>94</v>
      </c>
      <c r="H352" s="184" t="s">
        <v>296</v>
      </c>
    </row>
    <row r="353" spans="1:20">
      <c r="A353" s="182">
        <v>43978</v>
      </c>
      <c r="B353" s="183">
        <v>0.58070601851851855</v>
      </c>
      <c r="C353" s="184" t="s">
        <v>67</v>
      </c>
      <c r="D353" s="184" t="s">
        <v>68</v>
      </c>
      <c r="E353" s="184" t="s">
        <v>45</v>
      </c>
      <c r="F353" s="182">
        <v>43994</v>
      </c>
      <c r="G353" s="186" t="s">
        <v>114</v>
      </c>
      <c r="H353" s="184" t="s">
        <v>185</v>
      </c>
      <c r="T353" s="184" t="s">
        <v>307</v>
      </c>
    </row>
    <row r="354" spans="1:20">
      <c r="A354" s="182">
        <v>43978</v>
      </c>
      <c r="B354" s="183">
        <v>0.58373842592592595</v>
      </c>
      <c r="C354" s="184" t="s">
        <v>67</v>
      </c>
      <c r="D354" s="184" t="s">
        <v>68</v>
      </c>
      <c r="E354" s="184" t="s">
        <v>45</v>
      </c>
      <c r="F354" s="182">
        <v>43994</v>
      </c>
      <c r="G354" s="186" t="s">
        <v>94</v>
      </c>
      <c r="H354" s="184" t="s">
        <v>308</v>
      </c>
      <c r="T354" s="184" t="s">
        <v>309</v>
      </c>
    </row>
    <row r="355" spans="1:20">
      <c r="A355" s="182">
        <v>43979</v>
      </c>
      <c r="B355" s="183">
        <v>0.46127314814814818</v>
      </c>
      <c r="C355" s="184" t="s">
        <v>67</v>
      </c>
      <c r="D355" s="184" t="s">
        <v>91</v>
      </c>
      <c r="E355" s="184" t="s">
        <v>96</v>
      </c>
      <c r="F355" s="182">
        <v>44025</v>
      </c>
      <c r="G355" s="186" t="s">
        <v>94</v>
      </c>
      <c r="H355" s="184" t="s">
        <v>303</v>
      </c>
    </row>
    <row r="356" spans="1:20">
      <c r="A356" s="182">
        <v>43979</v>
      </c>
      <c r="B356" s="183">
        <v>0.58084490740740746</v>
      </c>
      <c r="C356" s="184" t="s">
        <v>73</v>
      </c>
      <c r="D356" s="184" t="s">
        <v>68</v>
      </c>
      <c r="E356" s="184" t="s">
        <v>69</v>
      </c>
      <c r="F356" s="182">
        <v>44001</v>
      </c>
      <c r="G356" s="186" t="s">
        <v>112</v>
      </c>
      <c r="H356" s="184" t="s">
        <v>260</v>
      </c>
      <c r="T356" s="184" t="s">
        <v>310</v>
      </c>
    </row>
    <row r="357" spans="1:20">
      <c r="A357" s="182">
        <v>43979</v>
      </c>
      <c r="B357" s="183">
        <v>0.6535185185185185</v>
      </c>
      <c r="C357" s="184" t="s">
        <v>67</v>
      </c>
      <c r="D357" s="184" t="s">
        <v>68</v>
      </c>
      <c r="E357" s="184" t="s">
        <v>69</v>
      </c>
      <c r="F357" s="182">
        <v>44001</v>
      </c>
      <c r="G357" s="186" t="s">
        <v>94</v>
      </c>
      <c r="H357" s="184" t="s">
        <v>256</v>
      </c>
      <c r="T357" s="184" t="s">
        <v>310</v>
      </c>
    </row>
    <row r="358" spans="1:20">
      <c r="A358" s="182">
        <v>43980</v>
      </c>
      <c r="B358" s="183">
        <v>0.38737268518518514</v>
      </c>
      <c r="C358" s="184" t="s">
        <v>67</v>
      </c>
      <c r="D358" s="184" t="s">
        <v>68</v>
      </c>
      <c r="E358" s="184" t="s">
        <v>69</v>
      </c>
      <c r="F358" s="182">
        <v>44001</v>
      </c>
      <c r="G358" s="186" t="s">
        <v>94</v>
      </c>
      <c r="H358" s="184" t="s">
        <v>305</v>
      </c>
      <c r="T358" s="184" t="s">
        <v>310</v>
      </c>
    </row>
    <row r="359" spans="1:20">
      <c r="A359" s="182">
        <v>43980</v>
      </c>
      <c r="B359" s="183">
        <v>0.48650462962962965</v>
      </c>
      <c r="C359" s="184" t="s">
        <v>67</v>
      </c>
      <c r="D359" s="184" t="s">
        <v>91</v>
      </c>
      <c r="E359" s="184" t="s">
        <v>85</v>
      </c>
      <c r="F359" s="182">
        <v>44042</v>
      </c>
      <c r="G359" s="186" t="s">
        <v>94</v>
      </c>
      <c r="H359" s="184" t="s">
        <v>227</v>
      </c>
    </row>
    <row r="360" spans="1:20">
      <c r="A360" s="182">
        <v>43980</v>
      </c>
      <c r="B360" s="183">
        <v>0.68210648148148145</v>
      </c>
      <c r="C360" s="184" t="s">
        <v>67</v>
      </c>
      <c r="D360" s="184" t="s">
        <v>68</v>
      </c>
      <c r="E360" s="184" t="s">
        <v>45</v>
      </c>
      <c r="F360" s="182">
        <v>43994</v>
      </c>
      <c r="G360" s="186" t="s">
        <v>94</v>
      </c>
      <c r="H360" s="184" t="s">
        <v>190</v>
      </c>
      <c r="T360" s="184" t="s">
        <v>311</v>
      </c>
    </row>
    <row r="361" spans="1:20">
      <c r="A361" s="182">
        <v>43983</v>
      </c>
      <c r="B361" s="183">
        <v>0.39094907407407403</v>
      </c>
      <c r="C361" s="184" t="s">
        <v>73</v>
      </c>
      <c r="D361" s="184" t="s">
        <v>68</v>
      </c>
      <c r="E361" s="184" t="s">
        <v>69</v>
      </c>
      <c r="F361" s="182">
        <v>44001</v>
      </c>
      <c r="G361" s="186" t="s">
        <v>99</v>
      </c>
      <c r="H361" s="184" t="s">
        <v>256</v>
      </c>
      <c r="T361" s="184" t="s">
        <v>155</v>
      </c>
    </row>
    <row r="362" spans="1:20">
      <c r="A362" s="182">
        <v>43983</v>
      </c>
      <c r="B362" s="183">
        <v>0.4314236111111111</v>
      </c>
      <c r="C362" s="184" t="s">
        <v>67</v>
      </c>
      <c r="D362" s="184" t="s">
        <v>78</v>
      </c>
      <c r="E362" s="184" t="s">
        <v>19</v>
      </c>
      <c r="F362" s="182">
        <v>44070</v>
      </c>
      <c r="G362" s="186" t="s">
        <v>94</v>
      </c>
      <c r="H362" s="184" t="s">
        <v>269</v>
      </c>
    </row>
    <row r="363" spans="1:20">
      <c r="A363" s="182">
        <v>43983</v>
      </c>
      <c r="B363" s="183">
        <v>0.43160879629629628</v>
      </c>
      <c r="C363" s="184" t="s">
        <v>67</v>
      </c>
      <c r="D363" s="184" t="s">
        <v>78</v>
      </c>
      <c r="E363" s="184" t="s">
        <v>96</v>
      </c>
      <c r="F363" s="182">
        <v>44092</v>
      </c>
      <c r="G363" s="186" t="s">
        <v>94</v>
      </c>
      <c r="H363" s="184" t="s">
        <v>265</v>
      </c>
    </row>
    <row r="364" spans="1:20">
      <c r="A364" s="182">
        <v>43983</v>
      </c>
      <c r="B364" s="183">
        <v>0.58186342592592599</v>
      </c>
      <c r="C364" s="184" t="s">
        <v>73</v>
      </c>
      <c r="D364" s="184" t="s">
        <v>68</v>
      </c>
      <c r="E364" s="184" t="s">
        <v>69</v>
      </c>
      <c r="F364" s="182">
        <v>44001</v>
      </c>
      <c r="G364" s="186" t="s">
        <v>83</v>
      </c>
      <c r="H364" s="184" t="s">
        <v>308</v>
      </c>
      <c r="T364" s="184" t="s">
        <v>312</v>
      </c>
    </row>
    <row r="365" spans="1:20">
      <c r="A365" s="182">
        <v>43983</v>
      </c>
      <c r="B365" s="183">
        <v>0.60530092592592599</v>
      </c>
      <c r="C365" s="184" t="s">
        <v>67</v>
      </c>
      <c r="D365" s="184" t="s">
        <v>78</v>
      </c>
      <c r="E365" s="184" t="s">
        <v>69</v>
      </c>
      <c r="F365" s="182">
        <v>44001</v>
      </c>
      <c r="G365" s="186" t="s">
        <v>99</v>
      </c>
      <c r="H365" s="184" t="s">
        <v>107</v>
      </c>
    </row>
    <row r="366" spans="1:20">
      <c r="A366" s="182">
        <v>43983</v>
      </c>
      <c r="B366" s="183">
        <v>0.60539351851851853</v>
      </c>
      <c r="C366" s="184" t="s">
        <v>67</v>
      </c>
      <c r="D366" s="184" t="s">
        <v>78</v>
      </c>
      <c r="E366" s="184" t="s">
        <v>69</v>
      </c>
      <c r="F366" s="182">
        <v>44079</v>
      </c>
      <c r="G366" s="186" t="s">
        <v>70</v>
      </c>
      <c r="H366" s="184" t="s">
        <v>86</v>
      </c>
    </row>
    <row r="367" spans="1:20">
      <c r="A367" s="182">
        <v>43983</v>
      </c>
      <c r="B367" s="183">
        <v>0.62201388888888887</v>
      </c>
      <c r="C367" s="184" t="s">
        <v>67</v>
      </c>
      <c r="D367" s="184" t="s">
        <v>78</v>
      </c>
      <c r="E367" s="184" t="s">
        <v>19</v>
      </c>
      <c r="F367" s="182">
        <v>44070</v>
      </c>
      <c r="G367" s="186" t="s">
        <v>94</v>
      </c>
      <c r="H367" s="184" t="s">
        <v>313</v>
      </c>
    </row>
    <row r="368" spans="1:20">
      <c r="A368" s="182">
        <v>43983</v>
      </c>
      <c r="B368" s="183">
        <v>0.62229166666666669</v>
      </c>
      <c r="C368" s="184" t="s">
        <v>67</v>
      </c>
      <c r="D368" s="184" t="s">
        <v>78</v>
      </c>
      <c r="E368" s="184" t="s">
        <v>45</v>
      </c>
      <c r="F368" s="182">
        <v>44086</v>
      </c>
      <c r="G368" s="186" t="s">
        <v>94</v>
      </c>
      <c r="H368" s="184" t="s">
        <v>98</v>
      </c>
    </row>
    <row r="369" spans="1:20">
      <c r="A369" s="182">
        <v>43984</v>
      </c>
      <c r="B369" s="183">
        <v>0.41502314814814811</v>
      </c>
      <c r="C369" s="184" t="s">
        <v>67</v>
      </c>
      <c r="D369" s="184" t="s">
        <v>68</v>
      </c>
      <c r="E369" s="184" t="s">
        <v>19</v>
      </c>
      <c r="F369" s="182">
        <v>44105</v>
      </c>
      <c r="G369" s="186" t="s">
        <v>114</v>
      </c>
      <c r="H369" s="184" t="s">
        <v>182</v>
      </c>
      <c r="T369" s="184" t="s">
        <v>314</v>
      </c>
    </row>
    <row r="370" spans="1:20">
      <c r="A370" s="182">
        <v>43984</v>
      </c>
      <c r="B370" s="183">
        <v>0.41591435185185183</v>
      </c>
      <c r="C370" s="184" t="s">
        <v>67</v>
      </c>
      <c r="D370" s="184" t="s">
        <v>68</v>
      </c>
      <c r="E370" s="184" t="s">
        <v>95</v>
      </c>
      <c r="F370" s="182">
        <v>44119</v>
      </c>
      <c r="G370" s="186" t="s">
        <v>75</v>
      </c>
      <c r="H370" s="184" t="s">
        <v>76</v>
      </c>
      <c r="T370" s="184" t="s">
        <v>315</v>
      </c>
    </row>
    <row r="371" spans="1:20">
      <c r="A371" s="182">
        <v>43985</v>
      </c>
      <c r="B371" s="183">
        <v>0.65840277777777778</v>
      </c>
      <c r="C371" s="184" t="s">
        <v>67</v>
      </c>
      <c r="D371" s="184" t="s">
        <v>78</v>
      </c>
      <c r="E371" s="184" t="s">
        <v>69</v>
      </c>
      <c r="F371" s="182">
        <v>44001</v>
      </c>
      <c r="G371" s="186" t="s">
        <v>112</v>
      </c>
      <c r="H371" s="184" t="s">
        <v>265</v>
      </c>
    </row>
    <row r="372" spans="1:20">
      <c r="A372" s="182">
        <v>43985</v>
      </c>
      <c r="B372" s="183">
        <v>0.6586805555555556</v>
      </c>
      <c r="C372" s="184" t="s">
        <v>67</v>
      </c>
      <c r="D372" s="184" t="s">
        <v>78</v>
      </c>
      <c r="E372" s="184" t="s">
        <v>69</v>
      </c>
      <c r="F372" s="182">
        <v>44001</v>
      </c>
      <c r="G372" s="186" t="s">
        <v>94</v>
      </c>
      <c r="H372" s="184" t="s">
        <v>288</v>
      </c>
    </row>
    <row r="373" spans="1:20">
      <c r="A373" s="182">
        <v>43986</v>
      </c>
      <c r="B373" s="183">
        <v>0.46439814814814812</v>
      </c>
      <c r="C373" s="184" t="s">
        <v>67</v>
      </c>
      <c r="D373" s="184" t="s">
        <v>68</v>
      </c>
      <c r="E373" s="184" t="s">
        <v>19</v>
      </c>
      <c r="F373" s="182">
        <v>44070</v>
      </c>
      <c r="G373" s="186" t="s">
        <v>99</v>
      </c>
      <c r="H373" s="184" t="s">
        <v>87</v>
      </c>
      <c r="T373" s="184" t="s">
        <v>152</v>
      </c>
    </row>
    <row r="374" spans="1:20">
      <c r="A374" s="182">
        <v>43986</v>
      </c>
      <c r="B374" s="183">
        <v>0.46601851851851855</v>
      </c>
      <c r="C374" s="184" t="s">
        <v>67</v>
      </c>
      <c r="D374" s="184" t="s">
        <v>68</v>
      </c>
      <c r="E374" s="184" t="s">
        <v>69</v>
      </c>
      <c r="F374" s="182">
        <v>44079</v>
      </c>
      <c r="G374" s="186" t="s">
        <v>99</v>
      </c>
      <c r="H374" s="184" t="s">
        <v>222</v>
      </c>
      <c r="T374" s="184" t="s">
        <v>152</v>
      </c>
    </row>
    <row r="375" spans="1:20">
      <c r="A375" s="182">
        <v>43986</v>
      </c>
      <c r="B375" s="183">
        <v>0.4876967592592592</v>
      </c>
      <c r="C375" s="184" t="s">
        <v>67</v>
      </c>
      <c r="D375" s="184" t="s">
        <v>91</v>
      </c>
      <c r="E375" s="184" t="s">
        <v>124</v>
      </c>
      <c r="F375" s="182">
        <v>44029</v>
      </c>
      <c r="G375" s="186" t="s">
        <v>119</v>
      </c>
      <c r="H375" s="184" t="s">
        <v>120</v>
      </c>
    </row>
    <row r="376" spans="1:20">
      <c r="A376" s="182">
        <v>43986</v>
      </c>
      <c r="B376" s="183">
        <v>0.5791898148148148</v>
      </c>
      <c r="C376" s="184" t="s">
        <v>67</v>
      </c>
      <c r="D376" s="184" t="s">
        <v>68</v>
      </c>
      <c r="E376" s="184" t="s">
        <v>69</v>
      </c>
      <c r="F376" s="182">
        <v>44001</v>
      </c>
      <c r="G376" s="186" t="s">
        <v>238</v>
      </c>
      <c r="H376" s="184" t="s">
        <v>256</v>
      </c>
      <c r="T376" s="184" t="s">
        <v>316</v>
      </c>
    </row>
    <row r="377" spans="1:20">
      <c r="A377" s="182">
        <v>43986</v>
      </c>
      <c r="B377" s="183">
        <v>0.61371527777777779</v>
      </c>
      <c r="C377" s="184" t="s">
        <v>67</v>
      </c>
      <c r="D377" s="184" t="s">
        <v>78</v>
      </c>
      <c r="E377" s="184" t="s">
        <v>96</v>
      </c>
      <c r="F377" s="182">
        <v>44025</v>
      </c>
      <c r="G377" s="186" t="s">
        <v>94</v>
      </c>
      <c r="H377" s="184" t="s">
        <v>113</v>
      </c>
    </row>
    <row r="378" spans="1:20">
      <c r="A378" s="182">
        <v>43986</v>
      </c>
      <c r="B378" s="183">
        <v>0.6971180555555555</v>
      </c>
      <c r="C378" s="184" t="s">
        <v>67</v>
      </c>
      <c r="D378" s="184" t="s">
        <v>68</v>
      </c>
      <c r="E378" s="184" t="s">
        <v>96</v>
      </c>
      <c r="F378" s="182">
        <v>44142</v>
      </c>
      <c r="G378" s="186" t="s">
        <v>94</v>
      </c>
      <c r="H378" s="184" t="s">
        <v>76</v>
      </c>
      <c r="T378" s="184" t="s">
        <v>317</v>
      </c>
    </row>
    <row r="379" spans="1:20">
      <c r="A379" s="182">
        <v>43987</v>
      </c>
      <c r="B379" s="183">
        <v>0.38105324074074076</v>
      </c>
      <c r="C379" s="184" t="s">
        <v>73</v>
      </c>
      <c r="D379" s="184" t="s">
        <v>68</v>
      </c>
      <c r="E379" s="184" t="s">
        <v>96</v>
      </c>
      <c r="F379" s="182">
        <v>44092</v>
      </c>
      <c r="G379" s="186" t="s">
        <v>94</v>
      </c>
      <c r="H379" s="184" t="s">
        <v>87</v>
      </c>
      <c r="T379" s="184" t="s">
        <v>318</v>
      </c>
    </row>
    <row r="380" spans="1:20">
      <c r="A380" s="182">
        <v>43987</v>
      </c>
      <c r="B380" s="183">
        <v>0.64182870370370371</v>
      </c>
      <c r="C380" s="184" t="s">
        <v>73</v>
      </c>
      <c r="D380" s="184" t="s">
        <v>68</v>
      </c>
      <c r="E380" s="184" t="s">
        <v>96</v>
      </c>
      <c r="F380" s="182">
        <v>44025</v>
      </c>
      <c r="G380" s="186" t="s">
        <v>94</v>
      </c>
      <c r="H380" s="184" t="s">
        <v>103</v>
      </c>
      <c r="T380" s="184" t="s">
        <v>319</v>
      </c>
    </row>
    <row r="381" spans="1:20">
      <c r="A381" s="182">
        <v>43987</v>
      </c>
      <c r="B381" s="183">
        <v>0.6442592592592592</v>
      </c>
      <c r="C381" s="184" t="s">
        <v>73</v>
      </c>
      <c r="D381" s="184" t="s">
        <v>78</v>
      </c>
      <c r="E381" s="184" t="s">
        <v>69</v>
      </c>
      <c r="F381" s="182">
        <v>44001</v>
      </c>
      <c r="G381" s="186" t="s">
        <v>99</v>
      </c>
      <c r="H381" s="184" t="s">
        <v>265</v>
      </c>
    </row>
    <row r="382" spans="1:20">
      <c r="A382" s="182">
        <v>43987</v>
      </c>
      <c r="B382" s="183">
        <v>0.6444791666666666</v>
      </c>
      <c r="C382" s="184" t="s">
        <v>73</v>
      </c>
      <c r="D382" s="184" t="s">
        <v>78</v>
      </c>
      <c r="E382" s="184" t="s">
        <v>69</v>
      </c>
      <c r="F382" s="182">
        <v>44079</v>
      </c>
      <c r="G382" s="186" t="s">
        <v>94</v>
      </c>
      <c r="H382" s="184" t="s">
        <v>107</v>
      </c>
    </row>
    <row r="383" spans="1:20">
      <c r="A383" s="182">
        <v>43987</v>
      </c>
      <c r="B383" s="183">
        <v>0.6446412037037037</v>
      </c>
      <c r="C383" s="184" t="s">
        <v>73</v>
      </c>
      <c r="D383" s="184" t="s">
        <v>78</v>
      </c>
      <c r="E383" s="184" t="s">
        <v>96</v>
      </c>
      <c r="F383" s="182">
        <v>44025</v>
      </c>
      <c r="G383" s="186" t="s">
        <v>94</v>
      </c>
      <c r="H383" s="184" t="s">
        <v>265</v>
      </c>
    </row>
    <row r="384" spans="1:20">
      <c r="A384" s="182">
        <v>43987</v>
      </c>
      <c r="B384" s="183">
        <v>0.64502314814814821</v>
      </c>
      <c r="C384" s="184" t="s">
        <v>73</v>
      </c>
      <c r="D384" s="184" t="s">
        <v>91</v>
      </c>
      <c r="E384" s="184" t="s">
        <v>124</v>
      </c>
      <c r="F384" s="182">
        <v>44029</v>
      </c>
      <c r="G384" s="186" t="s">
        <v>94</v>
      </c>
      <c r="H384" s="184" t="s">
        <v>229</v>
      </c>
    </row>
    <row r="385" spans="1:20">
      <c r="A385" s="182">
        <v>43990</v>
      </c>
      <c r="B385" s="183">
        <v>0.46234953703703702</v>
      </c>
      <c r="C385" s="184" t="s">
        <v>73</v>
      </c>
      <c r="D385" s="184" t="s">
        <v>68</v>
      </c>
      <c r="E385" s="184" t="s">
        <v>96</v>
      </c>
      <c r="F385" s="182">
        <v>44025</v>
      </c>
      <c r="G385" s="186" t="s">
        <v>114</v>
      </c>
      <c r="H385" s="184" t="s">
        <v>117</v>
      </c>
      <c r="T385" s="184" t="s">
        <v>320</v>
      </c>
    </row>
    <row r="386" spans="1:20">
      <c r="A386" s="182">
        <v>43990</v>
      </c>
      <c r="B386" s="183">
        <v>0.67053240740740738</v>
      </c>
      <c r="C386" s="184" t="s">
        <v>73</v>
      </c>
      <c r="D386" s="184" t="s">
        <v>68</v>
      </c>
      <c r="E386" s="184" t="s">
        <v>69</v>
      </c>
      <c r="F386" s="182">
        <v>44001</v>
      </c>
      <c r="G386" s="186" t="s">
        <v>94</v>
      </c>
      <c r="H386" s="184" t="s">
        <v>305</v>
      </c>
      <c r="T386" s="184" t="s">
        <v>321</v>
      </c>
    </row>
    <row r="387" spans="1:20">
      <c r="A387" s="182">
        <v>43990</v>
      </c>
      <c r="B387" s="183">
        <v>0.71608796296296295</v>
      </c>
      <c r="C387" s="184" t="s">
        <v>73</v>
      </c>
      <c r="D387" s="184" t="s">
        <v>68</v>
      </c>
      <c r="E387" s="184" t="s">
        <v>69</v>
      </c>
      <c r="F387" s="182">
        <v>44001</v>
      </c>
      <c r="G387" s="186" t="s">
        <v>94</v>
      </c>
      <c r="H387" s="184" t="s">
        <v>322</v>
      </c>
      <c r="T387" s="184" t="s">
        <v>323</v>
      </c>
    </row>
    <row r="388" spans="1:20">
      <c r="A388" s="182">
        <v>43991</v>
      </c>
      <c r="B388" s="183">
        <v>0.48197916666666668</v>
      </c>
      <c r="C388" s="184" t="s">
        <v>73</v>
      </c>
      <c r="D388" s="184" t="s">
        <v>91</v>
      </c>
      <c r="E388" s="184" t="s">
        <v>95</v>
      </c>
      <c r="F388" s="182">
        <v>44021</v>
      </c>
      <c r="G388" s="186" t="s">
        <v>70</v>
      </c>
      <c r="H388" s="184" t="s">
        <v>93</v>
      </c>
    </row>
    <row r="389" spans="1:20">
      <c r="A389" s="182">
        <v>43991</v>
      </c>
      <c r="B389" s="183">
        <v>0.48644675925925923</v>
      </c>
      <c r="C389" s="184" t="s">
        <v>73</v>
      </c>
      <c r="D389" s="184" t="s">
        <v>78</v>
      </c>
      <c r="E389" s="184" t="s">
        <v>204</v>
      </c>
      <c r="F389" s="182">
        <v>43993</v>
      </c>
      <c r="G389" s="186" t="s">
        <v>115</v>
      </c>
      <c r="H389" s="184" t="s">
        <v>233</v>
      </c>
    </row>
    <row r="390" spans="1:20">
      <c r="A390" s="182">
        <v>43991</v>
      </c>
      <c r="B390" s="183">
        <v>0.48655092592592591</v>
      </c>
      <c r="C390" s="184" t="s">
        <v>73</v>
      </c>
      <c r="D390" s="184" t="s">
        <v>78</v>
      </c>
      <c r="E390" s="184" t="s">
        <v>204</v>
      </c>
      <c r="F390" s="182">
        <v>44112</v>
      </c>
      <c r="G390" s="186" t="s">
        <v>70</v>
      </c>
      <c r="H390" s="184" t="s">
        <v>86</v>
      </c>
    </row>
    <row r="391" spans="1:20">
      <c r="A391" s="182">
        <v>43991</v>
      </c>
      <c r="B391" s="183">
        <v>0.54803240740740744</v>
      </c>
      <c r="C391" s="184" t="s">
        <v>73</v>
      </c>
      <c r="D391" s="184" t="s">
        <v>68</v>
      </c>
      <c r="E391" s="184" t="s">
        <v>96</v>
      </c>
      <c r="F391" s="182">
        <v>44025</v>
      </c>
      <c r="G391" s="186" t="s">
        <v>94</v>
      </c>
      <c r="H391" s="184" t="s">
        <v>259</v>
      </c>
      <c r="T391" s="184" t="s">
        <v>230</v>
      </c>
    </row>
    <row r="392" spans="1:20">
      <c r="A392" s="182">
        <v>43991</v>
      </c>
      <c r="B392" s="183">
        <v>0.61115740740740743</v>
      </c>
      <c r="C392" s="184" t="s">
        <v>67</v>
      </c>
      <c r="D392" s="184" t="s">
        <v>91</v>
      </c>
      <c r="E392" s="184" t="s">
        <v>95</v>
      </c>
      <c r="F392" s="182">
        <v>44021</v>
      </c>
      <c r="G392" s="186" t="s">
        <v>94</v>
      </c>
      <c r="H392" s="184" t="s">
        <v>92</v>
      </c>
    </row>
    <row r="393" spans="1:20">
      <c r="A393" s="182">
        <v>43991</v>
      </c>
      <c r="B393" s="183">
        <v>0.61148148148148151</v>
      </c>
      <c r="C393" s="184" t="s">
        <v>67</v>
      </c>
      <c r="D393" s="184" t="s">
        <v>91</v>
      </c>
      <c r="E393" s="184" t="s">
        <v>19</v>
      </c>
      <c r="F393" s="182">
        <v>44070</v>
      </c>
      <c r="G393" s="186" t="s">
        <v>70</v>
      </c>
      <c r="H393" s="184" t="s">
        <v>93</v>
      </c>
    </row>
    <row r="394" spans="1:20">
      <c r="A394" s="182">
        <v>43991</v>
      </c>
      <c r="B394" s="183">
        <v>0.6159027777777778</v>
      </c>
      <c r="C394" s="184" t="s">
        <v>67</v>
      </c>
      <c r="D394" s="184" t="s">
        <v>91</v>
      </c>
      <c r="E394" s="184" t="s">
        <v>85</v>
      </c>
      <c r="F394" s="182">
        <v>44042</v>
      </c>
      <c r="G394" s="186" t="s">
        <v>114</v>
      </c>
      <c r="H394" s="184" t="s">
        <v>120</v>
      </c>
    </row>
    <row r="395" spans="1:20">
      <c r="A395" s="182">
        <v>43991</v>
      </c>
      <c r="B395" s="183">
        <v>0.61614583333333328</v>
      </c>
      <c r="C395" s="184" t="s">
        <v>67</v>
      </c>
      <c r="D395" s="184" t="s">
        <v>91</v>
      </c>
      <c r="E395" s="184" t="s">
        <v>45</v>
      </c>
      <c r="F395" s="182">
        <v>44086</v>
      </c>
      <c r="G395" s="186" t="s">
        <v>94</v>
      </c>
      <c r="H395" s="184" t="s">
        <v>229</v>
      </c>
    </row>
    <row r="396" spans="1:20">
      <c r="A396" s="182">
        <v>43991</v>
      </c>
      <c r="B396" s="183">
        <v>0.61695601851851845</v>
      </c>
      <c r="C396" s="184" t="s">
        <v>67</v>
      </c>
      <c r="D396" s="184" t="s">
        <v>78</v>
      </c>
      <c r="E396" s="184" t="s">
        <v>19</v>
      </c>
      <c r="F396" s="182">
        <v>44070</v>
      </c>
      <c r="G396" s="186" t="s">
        <v>94</v>
      </c>
      <c r="H396" s="184" t="s">
        <v>270</v>
      </c>
    </row>
    <row r="397" spans="1:20">
      <c r="A397" s="182">
        <v>43991</v>
      </c>
      <c r="B397" s="183">
        <v>0.61715277777777777</v>
      </c>
      <c r="C397" s="184" t="s">
        <v>67</v>
      </c>
      <c r="D397" s="184" t="s">
        <v>78</v>
      </c>
      <c r="E397" s="184" t="s">
        <v>45</v>
      </c>
      <c r="F397" s="182">
        <v>44086</v>
      </c>
      <c r="G397" s="186" t="s">
        <v>94</v>
      </c>
      <c r="H397" s="184" t="s">
        <v>116</v>
      </c>
    </row>
    <row r="398" spans="1:20">
      <c r="A398" s="182">
        <v>43991</v>
      </c>
      <c r="B398" s="183">
        <v>0.69571759259259258</v>
      </c>
      <c r="C398" s="184" t="s">
        <v>67</v>
      </c>
      <c r="D398" s="184" t="s">
        <v>78</v>
      </c>
      <c r="E398" s="184" t="s">
        <v>95</v>
      </c>
      <c r="F398" s="182">
        <v>44021</v>
      </c>
      <c r="G398" s="186" t="s">
        <v>70</v>
      </c>
      <c r="H398" s="184" t="s">
        <v>86</v>
      </c>
    </row>
    <row r="399" spans="1:20">
      <c r="A399" s="182">
        <v>43992</v>
      </c>
      <c r="B399" s="183">
        <v>0.42664351851851851</v>
      </c>
      <c r="C399" s="184" t="s">
        <v>67</v>
      </c>
      <c r="D399" s="184" t="s">
        <v>68</v>
      </c>
      <c r="E399" s="184" t="s">
        <v>96</v>
      </c>
      <c r="F399" s="182">
        <v>44025</v>
      </c>
      <c r="G399" s="186" t="s">
        <v>94</v>
      </c>
      <c r="H399" s="184" t="s">
        <v>273</v>
      </c>
      <c r="T399" s="184" t="s">
        <v>324</v>
      </c>
    </row>
    <row r="400" spans="1:20">
      <c r="A400" s="182">
        <v>43992</v>
      </c>
      <c r="B400" s="183">
        <v>0.68738425925925928</v>
      </c>
      <c r="C400" s="184" t="s">
        <v>73</v>
      </c>
      <c r="D400" s="184" t="s">
        <v>91</v>
      </c>
      <c r="E400" s="184" t="s">
        <v>96</v>
      </c>
      <c r="F400" s="182">
        <v>44025</v>
      </c>
      <c r="G400" s="186" t="s">
        <v>99</v>
      </c>
      <c r="H400" s="184" t="s">
        <v>296</v>
      </c>
    </row>
    <row r="401" spans="1:8">
      <c r="A401" s="182">
        <v>43992</v>
      </c>
      <c r="B401" s="183">
        <v>0.68759259259259264</v>
      </c>
      <c r="C401" s="184" t="s">
        <v>73</v>
      </c>
      <c r="D401" s="184" t="s">
        <v>91</v>
      </c>
      <c r="E401" s="184" t="s">
        <v>96</v>
      </c>
      <c r="F401" s="182">
        <v>44092</v>
      </c>
      <c r="G401" s="186" t="s">
        <v>70</v>
      </c>
      <c r="H401" s="184" t="s">
        <v>93</v>
      </c>
    </row>
    <row r="402" spans="1:8">
      <c r="A402" s="182">
        <v>43993</v>
      </c>
      <c r="B402" s="183">
        <v>0.43201388888888892</v>
      </c>
      <c r="C402" s="184" t="s">
        <v>67</v>
      </c>
      <c r="D402" s="184" t="s">
        <v>91</v>
      </c>
      <c r="E402" s="184" t="s">
        <v>96</v>
      </c>
      <c r="F402" s="182">
        <v>44025</v>
      </c>
      <c r="G402" s="186" t="s">
        <v>114</v>
      </c>
      <c r="H402" s="184" t="s">
        <v>325</v>
      </c>
    </row>
    <row r="403" spans="1:8">
      <c r="A403" s="182">
        <v>43993</v>
      </c>
      <c r="B403" s="183">
        <v>0.43240740740740741</v>
      </c>
      <c r="C403" s="184" t="s">
        <v>67</v>
      </c>
      <c r="D403" s="184" t="s">
        <v>78</v>
      </c>
      <c r="E403" s="184" t="s">
        <v>96</v>
      </c>
      <c r="F403" s="182">
        <v>44025</v>
      </c>
      <c r="G403" s="186" t="s">
        <v>94</v>
      </c>
      <c r="H403" s="184" t="s">
        <v>288</v>
      </c>
    </row>
    <row r="404" spans="1:8">
      <c r="A404" s="182">
        <v>43993</v>
      </c>
      <c r="B404" s="183">
        <v>0.57739583333333333</v>
      </c>
      <c r="C404" s="184" t="s">
        <v>67</v>
      </c>
      <c r="D404" s="184" t="s">
        <v>78</v>
      </c>
      <c r="E404" s="184" t="s">
        <v>19</v>
      </c>
      <c r="F404" s="182">
        <v>44070</v>
      </c>
      <c r="G404" s="186" t="s">
        <v>112</v>
      </c>
      <c r="H404" s="184" t="s">
        <v>279</v>
      </c>
    </row>
    <row r="405" spans="1:8">
      <c r="A405" s="182">
        <v>43993</v>
      </c>
      <c r="B405" s="183">
        <v>0.57751157407407405</v>
      </c>
      <c r="C405" s="184" t="s">
        <v>67</v>
      </c>
      <c r="D405" s="184" t="s">
        <v>78</v>
      </c>
      <c r="E405" s="184" t="s">
        <v>19</v>
      </c>
      <c r="F405" s="182">
        <v>44105</v>
      </c>
      <c r="G405" s="186" t="s">
        <v>94</v>
      </c>
      <c r="H405" s="184" t="s">
        <v>106</v>
      </c>
    </row>
    <row r="406" spans="1:8">
      <c r="A406" s="182">
        <v>43993</v>
      </c>
      <c r="B406" s="183">
        <v>0.57771990740740742</v>
      </c>
      <c r="C406" s="184" t="s">
        <v>67</v>
      </c>
      <c r="D406" s="184" t="s">
        <v>78</v>
      </c>
      <c r="E406" s="184" t="s">
        <v>45</v>
      </c>
      <c r="F406" s="182">
        <v>44086</v>
      </c>
      <c r="G406" s="186" t="s">
        <v>114</v>
      </c>
      <c r="H406" s="184" t="s">
        <v>297</v>
      </c>
    </row>
    <row r="407" spans="1:8">
      <c r="A407" s="182">
        <v>43993</v>
      </c>
      <c r="B407" s="183">
        <v>0.57804398148148151</v>
      </c>
      <c r="C407" s="184" t="s">
        <v>67</v>
      </c>
      <c r="D407" s="184" t="s">
        <v>78</v>
      </c>
      <c r="E407" s="184" t="s">
        <v>45</v>
      </c>
      <c r="F407" s="182">
        <v>44162</v>
      </c>
      <c r="G407" s="186" t="s">
        <v>94</v>
      </c>
      <c r="H407" s="184" t="s">
        <v>107</v>
      </c>
    </row>
    <row r="408" spans="1:8">
      <c r="A408" s="182">
        <v>43993</v>
      </c>
      <c r="B408" s="183">
        <v>0.57819444444444446</v>
      </c>
      <c r="C408" s="184" t="s">
        <v>67</v>
      </c>
      <c r="D408" s="184" t="s">
        <v>78</v>
      </c>
      <c r="E408" s="184" t="s">
        <v>96</v>
      </c>
      <c r="F408" s="182">
        <v>44092</v>
      </c>
      <c r="G408" s="186" t="s">
        <v>94</v>
      </c>
      <c r="H408" s="184" t="s">
        <v>288</v>
      </c>
    </row>
    <row r="409" spans="1:8">
      <c r="A409" s="182">
        <v>43993</v>
      </c>
      <c r="B409" s="183">
        <v>0.57833333333333337</v>
      </c>
      <c r="C409" s="184" t="s">
        <v>67</v>
      </c>
      <c r="D409" s="184" t="s">
        <v>78</v>
      </c>
      <c r="E409" s="184" t="s">
        <v>96</v>
      </c>
      <c r="F409" s="182">
        <v>44142</v>
      </c>
      <c r="G409" s="186" t="s">
        <v>114</v>
      </c>
      <c r="H409" s="184" t="s">
        <v>113</v>
      </c>
    </row>
    <row r="410" spans="1:8">
      <c r="A410" s="182">
        <v>43993</v>
      </c>
      <c r="B410" s="183">
        <v>0.62938657407407406</v>
      </c>
      <c r="C410" s="184" t="s">
        <v>67</v>
      </c>
      <c r="D410" s="184" t="s">
        <v>91</v>
      </c>
      <c r="E410" s="184" t="s">
        <v>96</v>
      </c>
      <c r="F410" s="182">
        <v>44025</v>
      </c>
      <c r="G410" s="186" t="s">
        <v>94</v>
      </c>
      <c r="H410" s="184" t="s">
        <v>326</v>
      </c>
    </row>
    <row r="411" spans="1:8">
      <c r="A411" s="182">
        <v>43994</v>
      </c>
      <c r="B411" s="183">
        <v>0.55307870370370371</v>
      </c>
      <c r="C411" s="184" t="s">
        <v>73</v>
      </c>
      <c r="D411" s="184" t="s">
        <v>91</v>
      </c>
      <c r="E411" s="184" t="s">
        <v>95</v>
      </c>
      <c r="F411" s="182">
        <v>44021</v>
      </c>
      <c r="G411" s="186" t="s">
        <v>94</v>
      </c>
      <c r="H411" s="184" t="s">
        <v>227</v>
      </c>
    </row>
    <row r="412" spans="1:8">
      <c r="A412" s="182">
        <v>43994</v>
      </c>
      <c r="B412" s="183">
        <v>0.55334490740740738</v>
      </c>
      <c r="C412" s="184" t="s">
        <v>73</v>
      </c>
      <c r="D412" s="184" t="s">
        <v>91</v>
      </c>
      <c r="E412" s="184" t="s">
        <v>19</v>
      </c>
      <c r="F412" s="182">
        <v>44070</v>
      </c>
      <c r="G412" s="186" t="s">
        <v>70</v>
      </c>
      <c r="H412" s="184" t="s">
        <v>92</v>
      </c>
    </row>
    <row r="413" spans="1:8">
      <c r="A413" s="182">
        <v>43994</v>
      </c>
      <c r="B413" s="183">
        <v>0.55365740740740743</v>
      </c>
      <c r="C413" s="184" t="s">
        <v>73</v>
      </c>
      <c r="D413" s="184" t="s">
        <v>91</v>
      </c>
      <c r="E413" s="184" t="s">
        <v>96</v>
      </c>
      <c r="F413" s="182">
        <v>44092</v>
      </c>
      <c r="G413" s="186" t="s">
        <v>94</v>
      </c>
      <c r="H413" s="184" t="s">
        <v>92</v>
      </c>
    </row>
    <row r="414" spans="1:8">
      <c r="A414" s="182">
        <v>43994</v>
      </c>
      <c r="B414" s="183">
        <v>0.57752314814814809</v>
      </c>
      <c r="C414" s="184" t="s">
        <v>73</v>
      </c>
      <c r="D414" s="184" t="s">
        <v>91</v>
      </c>
      <c r="E414" s="184" t="s">
        <v>95</v>
      </c>
      <c r="F414" s="182">
        <v>44021</v>
      </c>
      <c r="G414" s="186" t="s">
        <v>94</v>
      </c>
      <c r="H414" s="184" t="s">
        <v>285</v>
      </c>
    </row>
    <row r="415" spans="1:8">
      <c r="A415" s="182">
        <v>43994</v>
      </c>
      <c r="B415" s="183">
        <v>0.57771990740740742</v>
      </c>
      <c r="C415" s="184" t="s">
        <v>73</v>
      </c>
      <c r="D415" s="184" t="s">
        <v>91</v>
      </c>
      <c r="E415" s="184" t="s">
        <v>19</v>
      </c>
      <c r="F415" s="182">
        <v>44070</v>
      </c>
      <c r="G415" s="186" t="s">
        <v>94</v>
      </c>
      <c r="H415" s="184" t="s">
        <v>227</v>
      </c>
    </row>
    <row r="416" spans="1:8">
      <c r="A416" s="182">
        <v>43994</v>
      </c>
      <c r="B416" s="183">
        <v>0.57791666666666663</v>
      </c>
      <c r="C416" s="184" t="s">
        <v>73</v>
      </c>
      <c r="D416" s="184" t="s">
        <v>91</v>
      </c>
      <c r="E416" s="184" t="s">
        <v>96</v>
      </c>
      <c r="F416" s="182">
        <v>44092</v>
      </c>
      <c r="G416" s="186" t="s">
        <v>94</v>
      </c>
      <c r="H416" s="184" t="s">
        <v>227</v>
      </c>
    </row>
    <row r="417" spans="1:20">
      <c r="A417" s="182">
        <v>43994</v>
      </c>
      <c r="B417" s="183">
        <v>0.69538194444444434</v>
      </c>
      <c r="C417" s="184" t="s">
        <v>73</v>
      </c>
      <c r="D417" s="184" t="s">
        <v>68</v>
      </c>
      <c r="E417" s="184" t="s">
        <v>96</v>
      </c>
      <c r="F417" s="182">
        <v>44025</v>
      </c>
      <c r="G417" s="186" t="s">
        <v>94</v>
      </c>
      <c r="H417" s="184" t="s">
        <v>261</v>
      </c>
      <c r="T417" s="184" t="s">
        <v>104</v>
      </c>
    </row>
    <row r="418" spans="1:20">
      <c r="A418" s="182">
        <v>43997</v>
      </c>
      <c r="B418" s="183">
        <v>0.41222222222222221</v>
      </c>
      <c r="C418" s="184" t="s">
        <v>73</v>
      </c>
      <c r="D418" s="184" t="s">
        <v>78</v>
      </c>
      <c r="E418" s="184" t="s">
        <v>69</v>
      </c>
      <c r="F418" s="182">
        <v>44001</v>
      </c>
      <c r="G418" s="186" t="s">
        <v>112</v>
      </c>
      <c r="H418" s="184" t="s">
        <v>327</v>
      </c>
    </row>
    <row r="419" spans="1:20">
      <c r="A419" s="182">
        <v>43997</v>
      </c>
      <c r="B419" s="183">
        <v>0.47320601851851851</v>
      </c>
      <c r="C419" s="184" t="s">
        <v>67</v>
      </c>
      <c r="D419" s="184" t="s">
        <v>68</v>
      </c>
      <c r="E419" s="184" t="s">
        <v>69</v>
      </c>
      <c r="F419" s="182">
        <v>44001</v>
      </c>
      <c r="G419" s="186" t="s">
        <v>94</v>
      </c>
      <c r="H419" s="184" t="s">
        <v>185</v>
      </c>
      <c r="T419" s="184" t="s">
        <v>306</v>
      </c>
    </row>
    <row r="420" spans="1:20">
      <c r="A420" s="182">
        <v>43997</v>
      </c>
      <c r="B420" s="183">
        <v>0.47587962962962965</v>
      </c>
      <c r="C420" s="184" t="s">
        <v>67</v>
      </c>
      <c r="D420" s="184" t="s">
        <v>78</v>
      </c>
      <c r="E420" s="184" t="s">
        <v>96</v>
      </c>
      <c r="F420" s="182">
        <v>44142</v>
      </c>
      <c r="G420" s="186" t="s">
        <v>114</v>
      </c>
      <c r="H420" s="184" t="s">
        <v>288</v>
      </c>
    </row>
    <row r="421" spans="1:20">
      <c r="A421" s="182">
        <v>43997</v>
      </c>
      <c r="B421" s="183">
        <v>0.47608796296296302</v>
      </c>
      <c r="C421" s="184" t="s">
        <v>67</v>
      </c>
      <c r="D421" s="184" t="s">
        <v>78</v>
      </c>
      <c r="E421" s="184" t="s">
        <v>45</v>
      </c>
      <c r="F421" s="182">
        <v>44162</v>
      </c>
      <c r="G421" s="186" t="s">
        <v>114</v>
      </c>
      <c r="H421" s="184" t="s">
        <v>113</v>
      </c>
    </row>
    <row r="422" spans="1:20">
      <c r="A422" s="182">
        <v>43997</v>
      </c>
      <c r="B422" s="183">
        <v>0.47635416666666663</v>
      </c>
      <c r="C422" s="184" t="s">
        <v>67</v>
      </c>
      <c r="D422" s="184" t="s">
        <v>78</v>
      </c>
      <c r="E422" s="184" t="s">
        <v>19</v>
      </c>
      <c r="F422" s="182">
        <v>44168</v>
      </c>
      <c r="G422" s="186" t="s">
        <v>75</v>
      </c>
      <c r="H422" s="184" t="s">
        <v>107</v>
      </c>
    </row>
    <row r="423" spans="1:20">
      <c r="A423" s="182">
        <v>43997</v>
      </c>
      <c r="B423" s="183">
        <v>0.51831018518518512</v>
      </c>
      <c r="C423" s="184" t="s">
        <v>67</v>
      </c>
      <c r="D423" s="184" t="s">
        <v>68</v>
      </c>
      <c r="E423" s="184" t="s">
        <v>95</v>
      </c>
      <c r="F423" s="182">
        <v>44119</v>
      </c>
      <c r="G423" s="186" t="s">
        <v>70</v>
      </c>
      <c r="H423" s="184" t="s">
        <v>87</v>
      </c>
      <c r="T423" s="184" t="s">
        <v>306</v>
      </c>
    </row>
    <row r="424" spans="1:20">
      <c r="A424" s="182">
        <v>43997</v>
      </c>
      <c r="B424" s="183">
        <v>0.55457175925925928</v>
      </c>
      <c r="C424" s="184" t="s">
        <v>73</v>
      </c>
      <c r="D424" s="184" t="s">
        <v>68</v>
      </c>
      <c r="E424" s="184" t="s">
        <v>124</v>
      </c>
      <c r="F424" s="182">
        <v>44029</v>
      </c>
      <c r="G424" s="186" t="s">
        <v>94</v>
      </c>
      <c r="H424" s="184" t="s">
        <v>209</v>
      </c>
      <c r="T424" s="184" t="s">
        <v>302</v>
      </c>
    </row>
    <row r="425" spans="1:20">
      <c r="A425" s="182">
        <v>43997</v>
      </c>
      <c r="B425" s="183">
        <v>0.66373842592592591</v>
      </c>
      <c r="C425" s="184" t="s">
        <v>73</v>
      </c>
      <c r="D425" s="184" t="s">
        <v>78</v>
      </c>
      <c r="E425" s="184" t="s">
        <v>69</v>
      </c>
      <c r="F425" s="182">
        <v>44001</v>
      </c>
      <c r="G425" s="186" t="s">
        <v>178</v>
      </c>
      <c r="H425" s="184" t="s">
        <v>84</v>
      </c>
    </row>
    <row r="426" spans="1:20">
      <c r="A426" s="182">
        <v>43998</v>
      </c>
      <c r="B426" s="183">
        <v>0.38800925925925928</v>
      </c>
      <c r="C426" s="184" t="s">
        <v>67</v>
      </c>
      <c r="D426" s="184" t="s">
        <v>68</v>
      </c>
      <c r="E426" s="184" t="s">
        <v>96</v>
      </c>
      <c r="F426" s="182">
        <v>44092</v>
      </c>
      <c r="G426" s="186" t="s">
        <v>99</v>
      </c>
      <c r="H426" s="184" t="s">
        <v>76</v>
      </c>
      <c r="T426" s="184" t="s">
        <v>328</v>
      </c>
    </row>
    <row r="427" spans="1:20">
      <c r="A427" s="182">
        <v>43998</v>
      </c>
      <c r="B427" s="183">
        <v>0.38850694444444445</v>
      </c>
      <c r="C427" s="184" t="s">
        <v>67</v>
      </c>
      <c r="D427" s="184" t="s">
        <v>68</v>
      </c>
      <c r="E427" s="184" t="s">
        <v>96</v>
      </c>
      <c r="F427" s="182">
        <v>44142</v>
      </c>
      <c r="G427" s="186" t="s">
        <v>94</v>
      </c>
      <c r="H427" s="184" t="s">
        <v>87</v>
      </c>
      <c r="T427" s="184" t="s">
        <v>328</v>
      </c>
    </row>
    <row r="428" spans="1:20">
      <c r="A428" s="182">
        <v>43998</v>
      </c>
      <c r="B428" s="183">
        <v>0.58140046296296299</v>
      </c>
      <c r="C428" s="184" t="s">
        <v>73</v>
      </c>
      <c r="D428" s="184" t="s">
        <v>68</v>
      </c>
      <c r="E428" s="184" t="s">
        <v>96</v>
      </c>
      <c r="F428" s="182">
        <v>44025</v>
      </c>
      <c r="G428" s="186" t="s">
        <v>112</v>
      </c>
      <c r="H428" s="184" t="s">
        <v>305</v>
      </c>
      <c r="T428" s="184" t="s">
        <v>329</v>
      </c>
    </row>
    <row r="429" spans="1:20">
      <c r="A429" s="182">
        <v>43998</v>
      </c>
      <c r="B429" s="183">
        <v>0.58715277777777775</v>
      </c>
      <c r="C429" s="184" t="s">
        <v>73</v>
      </c>
      <c r="D429" s="184" t="s">
        <v>68</v>
      </c>
      <c r="E429" s="184" t="s">
        <v>45</v>
      </c>
      <c r="F429" s="182">
        <v>44162</v>
      </c>
      <c r="G429" s="186" t="s">
        <v>105</v>
      </c>
      <c r="H429" s="184" t="s">
        <v>87</v>
      </c>
      <c r="T429" s="184" t="s">
        <v>329</v>
      </c>
    </row>
    <row r="430" spans="1:20">
      <c r="A430" s="182">
        <v>43998</v>
      </c>
      <c r="B430" s="183">
        <v>0.58761574074074074</v>
      </c>
      <c r="C430" s="184" t="s">
        <v>73</v>
      </c>
      <c r="D430" s="184" t="s">
        <v>68</v>
      </c>
      <c r="E430" s="184" t="s">
        <v>19</v>
      </c>
      <c r="F430" s="182">
        <v>44105</v>
      </c>
      <c r="G430" s="186" t="s">
        <v>112</v>
      </c>
      <c r="H430" s="184" t="s">
        <v>273</v>
      </c>
      <c r="T430" s="184" t="s">
        <v>329</v>
      </c>
    </row>
    <row r="431" spans="1:20">
      <c r="A431" s="182">
        <v>43998</v>
      </c>
      <c r="B431" s="183">
        <v>0.63798611111111114</v>
      </c>
      <c r="C431" s="184" t="s">
        <v>73</v>
      </c>
      <c r="D431" s="184" t="s">
        <v>68</v>
      </c>
      <c r="E431" s="184" t="s">
        <v>96</v>
      </c>
      <c r="F431" s="182">
        <v>44025</v>
      </c>
      <c r="G431" s="186" t="s">
        <v>94</v>
      </c>
      <c r="H431" s="184" t="s">
        <v>322</v>
      </c>
      <c r="T431" s="184" t="s">
        <v>330</v>
      </c>
    </row>
    <row r="432" spans="1:20">
      <c r="A432" s="182">
        <v>43998</v>
      </c>
      <c r="B432" s="183">
        <v>0.63863425925925921</v>
      </c>
      <c r="C432" s="184" t="s">
        <v>73</v>
      </c>
      <c r="D432" s="184" t="s">
        <v>68</v>
      </c>
      <c r="E432" s="184" t="s">
        <v>124</v>
      </c>
      <c r="F432" s="182">
        <v>44029</v>
      </c>
      <c r="G432" s="186" t="s">
        <v>94</v>
      </c>
      <c r="H432" s="184" t="s">
        <v>272</v>
      </c>
      <c r="T432" s="184" t="s">
        <v>330</v>
      </c>
    </row>
    <row r="433" spans="1:20">
      <c r="A433" s="182">
        <v>43999</v>
      </c>
      <c r="B433" s="183">
        <v>0.38618055555555553</v>
      </c>
      <c r="C433" s="184" t="s">
        <v>67</v>
      </c>
      <c r="D433" s="184" t="s">
        <v>78</v>
      </c>
      <c r="E433" s="184" t="s">
        <v>96</v>
      </c>
      <c r="F433" s="182">
        <v>44025</v>
      </c>
      <c r="G433" s="186" t="s">
        <v>112</v>
      </c>
      <c r="H433" s="184" t="s">
        <v>82</v>
      </c>
    </row>
    <row r="434" spans="1:20">
      <c r="A434" s="182">
        <v>43999</v>
      </c>
      <c r="B434" s="183">
        <v>0.48856481481481479</v>
      </c>
      <c r="C434" s="184" t="s">
        <v>67</v>
      </c>
      <c r="D434" s="184" t="s">
        <v>78</v>
      </c>
      <c r="E434" s="184" t="s">
        <v>69</v>
      </c>
      <c r="F434" s="182">
        <v>44001</v>
      </c>
      <c r="G434" s="186" t="s">
        <v>238</v>
      </c>
      <c r="H434" s="184" t="s">
        <v>82</v>
      </c>
    </row>
    <row r="435" spans="1:20">
      <c r="A435" s="182">
        <v>43999</v>
      </c>
      <c r="B435" s="183">
        <v>0.48907407407407405</v>
      </c>
      <c r="C435" s="184" t="s">
        <v>67</v>
      </c>
      <c r="D435" s="184" t="s">
        <v>78</v>
      </c>
      <c r="E435" s="184" t="s">
        <v>19</v>
      </c>
      <c r="F435" s="182">
        <v>44070</v>
      </c>
      <c r="G435" s="186" t="s">
        <v>114</v>
      </c>
      <c r="H435" s="184" t="s">
        <v>331</v>
      </c>
    </row>
    <row r="436" spans="1:20">
      <c r="A436" s="182">
        <v>43999</v>
      </c>
      <c r="B436" s="183">
        <v>0.48931712962962964</v>
      </c>
      <c r="C436" s="184" t="s">
        <v>67</v>
      </c>
      <c r="D436" s="184" t="s">
        <v>78</v>
      </c>
      <c r="E436" s="184" t="s">
        <v>96</v>
      </c>
      <c r="F436" s="182">
        <v>44092</v>
      </c>
      <c r="G436" s="186" t="s">
        <v>112</v>
      </c>
      <c r="H436" s="184" t="s">
        <v>82</v>
      </c>
    </row>
    <row r="437" spans="1:20">
      <c r="A437" s="182">
        <v>43999</v>
      </c>
      <c r="B437" s="183">
        <v>0.58565972222222229</v>
      </c>
      <c r="C437" s="184" t="s">
        <v>67</v>
      </c>
      <c r="D437" s="184" t="s">
        <v>91</v>
      </c>
      <c r="E437" s="184" t="s">
        <v>96</v>
      </c>
      <c r="F437" s="182">
        <v>44025</v>
      </c>
      <c r="G437" s="186" t="s">
        <v>115</v>
      </c>
      <c r="H437" s="184" t="s">
        <v>303</v>
      </c>
    </row>
    <row r="438" spans="1:20">
      <c r="A438" s="182">
        <v>43999</v>
      </c>
      <c r="B438" s="183">
        <v>0.58579861111111109</v>
      </c>
      <c r="C438" s="184" t="s">
        <v>67</v>
      </c>
      <c r="D438" s="184" t="s">
        <v>91</v>
      </c>
      <c r="E438" s="184" t="s">
        <v>96</v>
      </c>
      <c r="F438" s="182">
        <v>44092</v>
      </c>
      <c r="G438" s="186" t="s">
        <v>94</v>
      </c>
      <c r="H438" s="184" t="s">
        <v>285</v>
      </c>
    </row>
    <row r="439" spans="1:20">
      <c r="A439" s="182">
        <v>43999</v>
      </c>
      <c r="B439" s="183">
        <v>0.58644675925925926</v>
      </c>
      <c r="C439" s="184" t="s">
        <v>67</v>
      </c>
      <c r="D439" s="184" t="s">
        <v>91</v>
      </c>
      <c r="E439" s="184" t="s">
        <v>19</v>
      </c>
      <c r="F439" s="182">
        <v>44070</v>
      </c>
      <c r="G439" s="186" t="s">
        <v>75</v>
      </c>
      <c r="H439" s="184" t="s">
        <v>229</v>
      </c>
    </row>
    <row r="440" spans="1:20">
      <c r="A440" s="182">
        <v>43999</v>
      </c>
      <c r="B440" s="183">
        <v>0.58646990740740745</v>
      </c>
      <c r="C440" s="184" t="s">
        <v>67</v>
      </c>
      <c r="D440" s="184" t="s">
        <v>91</v>
      </c>
      <c r="E440" s="184" t="s">
        <v>19</v>
      </c>
      <c r="F440" s="182">
        <v>44070</v>
      </c>
      <c r="G440" s="186" t="s">
        <v>94</v>
      </c>
      <c r="H440" s="184" t="s">
        <v>229</v>
      </c>
    </row>
    <row r="441" spans="1:20">
      <c r="A441" s="182">
        <v>43999</v>
      </c>
      <c r="B441" s="183">
        <v>0.58677083333333335</v>
      </c>
      <c r="C441" s="184" t="s">
        <v>67</v>
      </c>
      <c r="D441" s="184" t="s">
        <v>91</v>
      </c>
      <c r="E441" s="184" t="s">
        <v>95</v>
      </c>
      <c r="F441" s="182">
        <v>44119</v>
      </c>
      <c r="G441" s="186" t="s">
        <v>75</v>
      </c>
      <c r="H441" s="184" t="s">
        <v>92</v>
      </c>
    </row>
    <row r="442" spans="1:20">
      <c r="A442" s="182">
        <v>43999</v>
      </c>
      <c r="B442" s="183">
        <v>0.60174768518518518</v>
      </c>
      <c r="C442" s="184" t="s">
        <v>67</v>
      </c>
      <c r="D442" s="184" t="s">
        <v>91</v>
      </c>
      <c r="E442" s="184" t="s">
        <v>96</v>
      </c>
      <c r="F442" s="182">
        <v>44025</v>
      </c>
      <c r="G442" s="186" t="s">
        <v>94</v>
      </c>
      <c r="H442" s="184" t="s">
        <v>325</v>
      </c>
    </row>
    <row r="443" spans="1:20">
      <c r="A443" s="182">
        <v>43999</v>
      </c>
      <c r="B443" s="183">
        <v>0.7074421296296296</v>
      </c>
      <c r="C443" s="184" t="s">
        <v>67</v>
      </c>
      <c r="D443" s="184" t="s">
        <v>68</v>
      </c>
      <c r="E443" s="184" t="s">
        <v>96</v>
      </c>
      <c r="F443" s="182">
        <v>44025</v>
      </c>
      <c r="G443" s="186" t="s">
        <v>112</v>
      </c>
      <c r="H443" s="184" t="s">
        <v>190</v>
      </c>
      <c r="T443" s="184" t="s">
        <v>332</v>
      </c>
    </row>
    <row r="444" spans="1:20">
      <c r="A444" s="182">
        <v>44000</v>
      </c>
      <c r="B444" s="183">
        <v>0.42037037037037034</v>
      </c>
      <c r="C444" s="184" t="s">
        <v>67</v>
      </c>
      <c r="D444" s="184" t="s">
        <v>68</v>
      </c>
      <c r="E444" s="184" t="s">
        <v>69</v>
      </c>
      <c r="F444" s="182">
        <v>44001</v>
      </c>
      <c r="G444" s="186" t="s">
        <v>99</v>
      </c>
      <c r="H444" s="184" t="s">
        <v>322</v>
      </c>
      <c r="T444" s="184" t="s">
        <v>176</v>
      </c>
    </row>
    <row r="445" spans="1:20">
      <c r="A445" s="182">
        <v>44000</v>
      </c>
      <c r="B445" s="183">
        <v>0.44627314814814811</v>
      </c>
      <c r="C445" s="184" t="s">
        <v>67</v>
      </c>
      <c r="D445" s="184" t="s">
        <v>91</v>
      </c>
      <c r="E445" s="184" t="s">
        <v>95</v>
      </c>
      <c r="F445" s="182">
        <v>44021</v>
      </c>
      <c r="G445" s="186" t="s">
        <v>70</v>
      </c>
      <c r="H445" s="184" t="s">
        <v>120</v>
      </c>
    </row>
    <row r="446" spans="1:20">
      <c r="A446" s="182">
        <v>44000</v>
      </c>
      <c r="B446" s="183">
        <v>0.49668981481481483</v>
      </c>
      <c r="C446" s="184" t="s">
        <v>67</v>
      </c>
      <c r="D446" s="184" t="s">
        <v>78</v>
      </c>
      <c r="E446" s="184" t="s">
        <v>69</v>
      </c>
      <c r="F446" s="182">
        <v>44079</v>
      </c>
      <c r="G446" s="186" t="s">
        <v>112</v>
      </c>
      <c r="H446" s="184" t="s">
        <v>265</v>
      </c>
    </row>
    <row r="447" spans="1:20">
      <c r="A447" s="182">
        <v>44000</v>
      </c>
      <c r="B447" s="183">
        <v>0.54299768518518521</v>
      </c>
      <c r="C447" s="184" t="s">
        <v>73</v>
      </c>
      <c r="D447" s="184" t="s">
        <v>68</v>
      </c>
      <c r="E447" s="184" t="s">
        <v>85</v>
      </c>
      <c r="F447" s="182">
        <v>44091</v>
      </c>
      <c r="G447" s="186" t="s">
        <v>114</v>
      </c>
      <c r="H447" s="184" t="s">
        <v>87</v>
      </c>
      <c r="T447" s="184" t="s">
        <v>333</v>
      </c>
    </row>
    <row r="448" spans="1:20">
      <c r="A448" s="182">
        <v>44000</v>
      </c>
      <c r="B448" s="183">
        <v>0.54355324074074074</v>
      </c>
      <c r="C448" s="184" t="s">
        <v>73</v>
      </c>
      <c r="D448" s="184" t="s">
        <v>68</v>
      </c>
      <c r="E448" s="184" t="s">
        <v>19</v>
      </c>
      <c r="F448" s="182">
        <v>44105</v>
      </c>
      <c r="G448" s="186" t="s">
        <v>114</v>
      </c>
      <c r="H448" s="184" t="s">
        <v>260</v>
      </c>
      <c r="T448" s="184" t="s">
        <v>333</v>
      </c>
    </row>
    <row r="449" spans="1:20">
      <c r="A449" s="182">
        <v>44000</v>
      </c>
      <c r="B449" s="183">
        <v>0.54409722222222223</v>
      </c>
      <c r="C449" s="184" t="s">
        <v>73</v>
      </c>
      <c r="D449" s="184" t="s">
        <v>68</v>
      </c>
      <c r="E449" s="184" t="s">
        <v>95</v>
      </c>
      <c r="F449" s="182">
        <v>44119</v>
      </c>
      <c r="G449" s="186" t="s">
        <v>114</v>
      </c>
      <c r="H449" s="184" t="s">
        <v>103</v>
      </c>
      <c r="T449" s="184" t="s">
        <v>333</v>
      </c>
    </row>
    <row r="450" spans="1:20">
      <c r="A450" s="182">
        <v>44001</v>
      </c>
      <c r="B450" s="183">
        <v>0.61504629629629626</v>
      </c>
      <c r="C450" s="184" t="s">
        <v>73</v>
      </c>
      <c r="D450" s="184" t="s">
        <v>68</v>
      </c>
      <c r="E450" s="184" t="s">
        <v>96</v>
      </c>
      <c r="F450" s="182">
        <v>44025</v>
      </c>
      <c r="G450" s="186" t="s">
        <v>99</v>
      </c>
      <c r="H450" s="184" t="s">
        <v>308</v>
      </c>
      <c r="T450" s="184" t="s">
        <v>334</v>
      </c>
    </row>
    <row r="451" spans="1:20">
      <c r="A451" s="182">
        <v>44004</v>
      </c>
      <c r="B451" s="183">
        <v>0.41824074074074075</v>
      </c>
      <c r="C451" s="184" t="s">
        <v>67</v>
      </c>
      <c r="D451" s="184" t="s">
        <v>91</v>
      </c>
      <c r="E451" s="184" t="s">
        <v>19</v>
      </c>
      <c r="F451" s="182">
        <v>44070</v>
      </c>
      <c r="G451" s="186" t="s">
        <v>94</v>
      </c>
      <c r="H451" s="184" t="s">
        <v>189</v>
      </c>
    </row>
    <row r="452" spans="1:20">
      <c r="A452" s="182">
        <v>44004</v>
      </c>
      <c r="B452" s="183">
        <v>0.41853009259259261</v>
      </c>
      <c r="C452" s="184" t="s">
        <v>67</v>
      </c>
      <c r="D452" s="184" t="s">
        <v>91</v>
      </c>
      <c r="E452" s="184" t="s">
        <v>45</v>
      </c>
      <c r="F452" s="182">
        <v>44086</v>
      </c>
      <c r="G452" s="186" t="s">
        <v>114</v>
      </c>
      <c r="H452" s="184" t="s">
        <v>218</v>
      </c>
    </row>
    <row r="453" spans="1:20">
      <c r="A453" s="182">
        <v>44004</v>
      </c>
      <c r="B453" s="183">
        <v>0.70966435185185184</v>
      </c>
      <c r="C453" s="184" t="s">
        <v>67</v>
      </c>
      <c r="D453" s="184" t="s">
        <v>91</v>
      </c>
      <c r="E453" s="184" t="s">
        <v>85</v>
      </c>
      <c r="F453" s="182">
        <v>44042</v>
      </c>
      <c r="G453" s="186" t="s">
        <v>99</v>
      </c>
      <c r="H453" s="184" t="s">
        <v>285</v>
      </c>
    </row>
    <row r="454" spans="1:20">
      <c r="A454" s="182">
        <v>44004</v>
      </c>
      <c r="B454" s="183">
        <v>0.70979166666666671</v>
      </c>
      <c r="C454" s="184" t="s">
        <v>67</v>
      </c>
      <c r="D454" s="184" t="s">
        <v>91</v>
      </c>
      <c r="E454" s="184" t="s">
        <v>85</v>
      </c>
      <c r="F454" s="182">
        <v>44091</v>
      </c>
      <c r="G454" s="186" t="s">
        <v>70</v>
      </c>
      <c r="H454" s="184" t="s">
        <v>93</v>
      </c>
    </row>
    <row r="455" spans="1:20">
      <c r="A455" s="182">
        <v>44005</v>
      </c>
      <c r="B455" s="183">
        <v>0.49068287037037034</v>
      </c>
      <c r="C455" s="184" t="s">
        <v>73</v>
      </c>
      <c r="D455" s="184" t="s">
        <v>91</v>
      </c>
      <c r="E455" s="184" t="s">
        <v>19</v>
      </c>
      <c r="F455" s="182">
        <v>44070</v>
      </c>
      <c r="G455" s="186" t="s">
        <v>94</v>
      </c>
      <c r="H455" s="184" t="s">
        <v>218</v>
      </c>
    </row>
    <row r="456" spans="1:20">
      <c r="A456" s="182">
        <v>44005</v>
      </c>
      <c r="B456" s="183">
        <v>0.50233796296296296</v>
      </c>
      <c r="C456" s="184" t="s">
        <v>73</v>
      </c>
      <c r="D456" s="184" t="s">
        <v>91</v>
      </c>
      <c r="E456" s="184" t="s">
        <v>96</v>
      </c>
      <c r="F456" s="182">
        <v>44025</v>
      </c>
      <c r="G456" s="186" t="s">
        <v>94</v>
      </c>
      <c r="H456" s="184" t="s">
        <v>326</v>
      </c>
    </row>
    <row r="457" spans="1:20">
      <c r="A457" s="182">
        <v>44005</v>
      </c>
      <c r="B457" s="183">
        <v>0.50252314814814814</v>
      </c>
      <c r="C457" s="184" t="s">
        <v>73</v>
      </c>
      <c r="D457" s="184" t="s">
        <v>91</v>
      </c>
      <c r="E457" s="184" t="s">
        <v>124</v>
      </c>
      <c r="F457" s="182">
        <v>44029</v>
      </c>
      <c r="G457" s="186" t="s">
        <v>112</v>
      </c>
      <c r="H457" s="184" t="s">
        <v>193</v>
      </c>
    </row>
    <row r="458" spans="1:20">
      <c r="A458" s="182">
        <v>44005</v>
      </c>
      <c r="B458" s="183">
        <v>0.59677083333333336</v>
      </c>
      <c r="C458" s="184" t="s">
        <v>73</v>
      </c>
      <c r="D458" s="184" t="s">
        <v>68</v>
      </c>
      <c r="E458" s="184" t="s">
        <v>96</v>
      </c>
      <c r="F458" s="182">
        <v>44025</v>
      </c>
      <c r="G458" s="186" t="s">
        <v>115</v>
      </c>
      <c r="H458" s="184" t="s">
        <v>322</v>
      </c>
      <c r="T458" s="184" t="s">
        <v>332</v>
      </c>
    </row>
    <row r="459" spans="1:20">
      <c r="A459" s="182">
        <v>44005</v>
      </c>
      <c r="B459" s="183">
        <v>0.66813657407407412</v>
      </c>
      <c r="C459" s="184" t="s">
        <v>73</v>
      </c>
      <c r="D459" s="184" t="s">
        <v>91</v>
      </c>
      <c r="E459" s="184" t="s">
        <v>96</v>
      </c>
      <c r="F459" s="182">
        <v>44025</v>
      </c>
      <c r="G459" s="186" t="s">
        <v>94</v>
      </c>
      <c r="H459" s="184" t="s">
        <v>335</v>
      </c>
    </row>
    <row r="460" spans="1:20">
      <c r="A460" s="182">
        <v>44005</v>
      </c>
      <c r="B460" s="183">
        <v>0.66829861111111111</v>
      </c>
      <c r="C460" s="184" t="s">
        <v>73</v>
      </c>
      <c r="D460" s="184" t="s">
        <v>68</v>
      </c>
      <c r="E460" s="184" t="s">
        <v>96</v>
      </c>
      <c r="F460" s="182">
        <v>44025</v>
      </c>
      <c r="G460" s="186" t="s">
        <v>94</v>
      </c>
      <c r="H460" s="184" t="s">
        <v>185</v>
      </c>
      <c r="T460" s="184" t="s">
        <v>336</v>
      </c>
    </row>
    <row r="461" spans="1:20">
      <c r="A461" s="182">
        <v>44006</v>
      </c>
      <c r="B461" s="183">
        <v>0.4387152777777778</v>
      </c>
      <c r="C461" s="184" t="s">
        <v>67</v>
      </c>
      <c r="D461" s="184" t="s">
        <v>91</v>
      </c>
      <c r="E461" s="184" t="s">
        <v>124</v>
      </c>
      <c r="F461" s="182">
        <v>44029</v>
      </c>
      <c r="G461" s="186" t="s">
        <v>99</v>
      </c>
      <c r="H461" s="184" t="s">
        <v>218</v>
      </c>
    </row>
    <row r="462" spans="1:20">
      <c r="A462" s="182">
        <v>44006</v>
      </c>
      <c r="B462" s="183">
        <v>0.43932870370370369</v>
      </c>
      <c r="C462" s="184" t="s">
        <v>67</v>
      </c>
      <c r="D462" s="184" t="s">
        <v>91</v>
      </c>
      <c r="E462" s="184" t="s">
        <v>95</v>
      </c>
      <c r="F462" s="182">
        <v>44021</v>
      </c>
      <c r="G462" s="186" t="s">
        <v>114</v>
      </c>
      <c r="H462" s="184" t="s">
        <v>189</v>
      </c>
    </row>
    <row r="463" spans="1:20">
      <c r="A463" s="182">
        <v>44006</v>
      </c>
      <c r="B463" s="183">
        <v>0.43972222222222218</v>
      </c>
      <c r="C463" s="184" t="s">
        <v>67</v>
      </c>
      <c r="D463" s="184" t="s">
        <v>91</v>
      </c>
      <c r="E463" s="184" t="s">
        <v>19</v>
      </c>
      <c r="F463" s="182">
        <v>44070</v>
      </c>
      <c r="G463" s="186" t="s">
        <v>114</v>
      </c>
      <c r="H463" s="184" t="s">
        <v>337</v>
      </c>
    </row>
    <row r="464" spans="1:20">
      <c r="A464" s="182">
        <v>44006</v>
      </c>
      <c r="B464" s="183">
        <v>0.44011574074074072</v>
      </c>
      <c r="C464" s="184" t="s">
        <v>67</v>
      </c>
      <c r="D464" s="184" t="s">
        <v>91</v>
      </c>
      <c r="E464" s="184" t="s">
        <v>95</v>
      </c>
      <c r="F464" s="182">
        <v>44021</v>
      </c>
      <c r="G464" s="186" t="s">
        <v>99</v>
      </c>
      <c r="H464" s="184" t="s">
        <v>229</v>
      </c>
    </row>
    <row r="465" spans="1:20">
      <c r="A465" s="182">
        <v>44006</v>
      </c>
      <c r="B465" s="183">
        <v>0.44047453703703704</v>
      </c>
      <c r="C465" s="184" t="s">
        <v>67</v>
      </c>
      <c r="D465" s="184" t="s">
        <v>91</v>
      </c>
      <c r="E465" s="184" t="s">
        <v>19</v>
      </c>
      <c r="F465" s="182">
        <v>44070</v>
      </c>
      <c r="G465" s="186" t="s">
        <v>99</v>
      </c>
      <c r="H465" s="184" t="s">
        <v>193</v>
      </c>
    </row>
    <row r="466" spans="1:20">
      <c r="A466" s="182">
        <v>44006</v>
      </c>
      <c r="B466" s="183">
        <v>0.49634259259259261</v>
      </c>
      <c r="C466" s="184" t="s">
        <v>67</v>
      </c>
      <c r="D466" s="184" t="s">
        <v>91</v>
      </c>
      <c r="E466" s="184" t="s">
        <v>96</v>
      </c>
      <c r="F466" s="182">
        <v>44025</v>
      </c>
      <c r="G466" s="186" t="s">
        <v>115</v>
      </c>
      <c r="H466" s="184" t="s">
        <v>325</v>
      </c>
    </row>
    <row r="467" spans="1:20">
      <c r="A467" s="182">
        <v>44006</v>
      </c>
      <c r="B467" s="183">
        <v>0.49655092592592592</v>
      </c>
      <c r="C467" s="184" t="s">
        <v>67</v>
      </c>
      <c r="D467" s="184" t="s">
        <v>91</v>
      </c>
      <c r="E467" s="184" t="s">
        <v>96</v>
      </c>
      <c r="F467" s="182">
        <v>44092</v>
      </c>
      <c r="G467" s="186" t="s">
        <v>114</v>
      </c>
      <c r="H467" s="184" t="s">
        <v>229</v>
      </c>
    </row>
    <row r="468" spans="1:20">
      <c r="A468" s="182">
        <v>44006</v>
      </c>
      <c r="B468" s="183">
        <v>0.57063657407407409</v>
      </c>
      <c r="C468" s="184" t="s">
        <v>67</v>
      </c>
      <c r="D468" s="184" t="s">
        <v>91</v>
      </c>
      <c r="E468" s="184" t="s">
        <v>124</v>
      </c>
      <c r="F468" s="182">
        <v>44029</v>
      </c>
      <c r="G468" s="186" t="s">
        <v>94</v>
      </c>
      <c r="H468" s="184" t="s">
        <v>193</v>
      </c>
    </row>
    <row r="469" spans="1:20">
      <c r="A469" s="182">
        <v>44006</v>
      </c>
      <c r="B469" s="183">
        <v>0.65534722222222219</v>
      </c>
      <c r="C469" s="184" t="s">
        <v>67</v>
      </c>
      <c r="D469" s="184" t="s">
        <v>68</v>
      </c>
      <c r="E469" s="184" t="s">
        <v>96</v>
      </c>
      <c r="F469" s="182">
        <v>44025</v>
      </c>
      <c r="G469" s="186" t="s">
        <v>94</v>
      </c>
      <c r="H469" s="184" t="s">
        <v>308</v>
      </c>
      <c r="T469" s="184" t="s">
        <v>338</v>
      </c>
    </row>
    <row r="470" spans="1:20">
      <c r="A470" s="182">
        <v>44006</v>
      </c>
      <c r="B470" s="183">
        <v>0.69859953703703714</v>
      </c>
      <c r="C470" s="184" t="s">
        <v>67</v>
      </c>
      <c r="D470" s="184" t="s">
        <v>68</v>
      </c>
      <c r="E470" s="184" t="s">
        <v>96</v>
      </c>
      <c r="F470" s="182">
        <v>44025</v>
      </c>
      <c r="G470" s="186" t="s">
        <v>94</v>
      </c>
      <c r="H470" s="184" t="s">
        <v>190</v>
      </c>
      <c r="T470" s="184" t="s">
        <v>339</v>
      </c>
    </row>
    <row r="471" spans="1:20">
      <c r="A471" s="182">
        <v>44007</v>
      </c>
      <c r="B471" s="183">
        <v>0.41101851851851851</v>
      </c>
      <c r="C471" s="184" t="s">
        <v>67</v>
      </c>
      <c r="D471" s="184" t="s">
        <v>91</v>
      </c>
      <c r="E471" s="184" t="s">
        <v>96</v>
      </c>
      <c r="F471" s="182">
        <v>44092</v>
      </c>
      <c r="G471" s="186" t="s">
        <v>114</v>
      </c>
      <c r="H471" s="184" t="s">
        <v>218</v>
      </c>
    </row>
    <row r="472" spans="1:20">
      <c r="A472" s="182">
        <v>44008</v>
      </c>
      <c r="B472" s="183">
        <v>0.57584490740740735</v>
      </c>
      <c r="C472" s="184" t="s">
        <v>67</v>
      </c>
      <c r="D472" s="184" t="s">
        <v>91</v>
      </c>
      <c r="E472" s="184" t="s">
        <v>96</v>
      </c>
      <c r="F472" s="182">
        <v>44025</v>
      </c>
      <c r="G472" s="186" t="s">
        <v>99</v>
      </c>
      <c r="H472" s="184" t="s">
        <v>303</v>
      </c>
    </row>
    <row r="473" spans="1:20">
      <c r="A473" s="182">
        <v>44008</v>
      </c>
      <c r="B473" s="183">
        <v>0.63725694444444447</v>
      </c>
      <c r="C473" s="184" t="s">
        <v>73</v>
      </c>
      <c r="D473" s="184" t="s">
        <v>68</v>
      </c>
      <c r="E473" s="184" t="s">
        <v>85</v>
      </c>
      <c r="F473" s="182">
        <v>44042</v>
      </c>
      <c r="G473" s="186" t="s">
        <v>94</v>
      </c>
      <c r="H473" s="184" t="s">
        <v>87</v>
      </c>
      <c r="T473" s="184" t="s">
        <v>340</v>
      </c>
    </row>
    <row r="474" spans="1:20">
      <c r="A474" s="182">
        <v>44008</v>
      </c>
      <c r="B474" s="183">
        <v>0.64935185185185185</v>
      </c>
      <c r="C474" s="184" t="s">
        <v>67</v>
      </c>
      <c r="D474" s="184" t="s">
        <v>68</v>
      </c>
      <c r="E474" s="184" t="s">
        <v>96</v>
      </c>
      <c r="F474" s="182">
        <v>44025</v>
      </c>
      <c r="G474" s="186" t="s">
        <v>94</v>
      </c>
      <c r="H474" s="184" t="s">
        <v>206</v>
      </c>
      <c r="T474" s="184" t="s">
        <v>341</v>
      </c>
    </row>
    <row r="475" spans="1:20">
      <c r="A475" s="182">
        <v>44008</v>
      </c>
      <c r="B475" s="183">
        <v>0.70118055555555558</v>
      </c>
      <c r="C475" s="184" t="s">
        <v>67</v>
      </c>
      <c r="D475" s="184" t="s">
        <v>91</v>
      </c>
      <c r="E475" s="184" t="s">
        <v>96</v>
      </c>
      <c r="F475" s="182">
        <v>44092</v>
      </c>
      <c r="G475" s="186" t="s">
        <v>114</v>
      </c>
      <c r="H475" s="184" t="s">
        <v>337</v>
      </c>
    </row>
    <row r="476" spans="1:20">
      <c r="A476" s="182">
        <v>44012</v>
      </c>
      <c r="B476" s="183">
        <v>0.42293981481481485</v>
      </c>
      <c r="C476" s="184" t="s">
        <v>67</v>
      </c>
      <c r="D476" s="184" t="s">
        <v>68</v>
      </c>
      <c r="E476" s="184" t="s">
        <v>96</v>
      </c>
      <c r="F476" s="182">
        <v>44025</v>
      </c>
      <c r="G476" s="186" t="s">
        <v>99</v>
      </c>
      <c r="H476" s="184" t="s">
        <v>190</v>
      </c>
      <c r="T476" s="184" t="s">
        <v>342</v>
      </c>
    </row>
    <row r="477" spans="1:20">
      <c r="A477" s="182">
        <v>44012</v>
      </c>
      <c r="B477" s="183">
        <v>0.42353009259259261</v>
      </c>
      <c r="C477" s="184" t="s">
        <v>67</v>
      </c>
      <c r="D477" s="184" t="s">
        <v>78</v>
      </c>
      <c r="E477" s="184" t="s">
        <v>96</v>
      </c>
      <c r="F477" s="182">
        <v>44025</v>
      </c>
      <c r="G477" s="186" t="s">
        <v>94</v>
      </c>
      <c r="H477" s="184" t="s">
        <v>80</v>
      </c>
    </row>
    <row r="478" spans="1:20">
      <c r="A478" s="182">
        <v>44012</v>
      </c>
      <c r="B478" s="183">
        <v>0.46304398148148151</v>
      </c>
      <c r="C478" s="184" t="s">
        <v>67</v>
      </c>
      <c r="D478" s="184" t="s">
        <v>91</v>
      </c>
      <c r="E478" s="184" t="s">
        <v>96</v>
      </c>
      <c r="F478" s="182">
        <v>44025</v>
      </c>
      <c r="G478" s="186" t="s">
        <v>99</v>
      </c>
      <c r="H478" s="184" t="s">
        <v>296</v>
      </c>
    </row>
    <row r="479" spans="1:20">
      <c r="A479" s="182">
        <v>44012</v>
      </c>
      <c r="B479" s="183">
        <v>0.46314814814814814</v>
      </c>
      <c r="C479" s="184" t="s">
        <v>67</v>
      </c>
      <c r="D479" s="184" t="s">
        <v>91</v>
      </c>
      <c r="E479" s="184" t="s">
        <v>96</v>
      </c>
      <c r="F479" s="182">
        <v>44025</v>
      </c>
      <c r="G479" s="186" t="s">
        <v>70</v>
      </c>
      <c r="H479" s="184" t="s">
        <v>303</v>
      </c>
    </row>
    <row r="480" spans="1:20">
      <c r="A480" s="182">
        <v>44012</v>
      </c>
      <c r="B480" s="183">
        <v>0.46348379629629632</v>
      </c>
      <c r="C480" s="184" t="s">
        <v>67</v>
      </c>
      <c r="D480" s="184" t="s">
        <v>78</v>
      </c>
      <c r="E480" s="184" t="s">
        <v>69</v>
      </c>
      <c r="F480" s="182">
        <v>44079</v>
      </c>
      <c r="G480" s="186" t="s">
        <v>94</v>
      </c>
      <c r="H480" s="184" t="s">
        <v>288</v>
      </c>
    </row>
    <row r="481" spans="1:20">
      <c r="A481" s="182">
        <v>44013</v>
      </c>
      <c r="B481" s="183">
        <v>0.4904513888888889</v>
      </c>
      <c r="C481" s="184" t="s">
        <v>67</v>
      </c>
      <c r="D481" s="184" t="s">
        <v>68</v>
      </c>
      <c r="E481" s="184" t="s">
        <v>85</v>
      </c>
      <c r="F481" s="182">
        <v>44091</v>
      </c>
      <c r="G481" s="186" t="s">
        <v>94</v>
      </c>
      <c r="H481" s="184" t="s">
        <v>101</v>
      </c>
      <c r="T481" s="184" t="s">
        <v>289</v>
      </c>
    </row>
    <row r="482" spans="1:20">
      <c r="A482" s="182">
        <v>44013</v>
      </c>
      <c r="B482" s="183">
        <v>0.54310185185185189</v>
      </c>
      <c r="C482" s="184" t="s">
        <v>67</v>
      </c>
      <c r="D482" s="184" t="s">
        <v>68</v>
      </c>
      <c r="E482" s="184" t="s">
        <v>19</v>
      </c>
      <c r="F482" s="182">
        <v>44105</v>
      </c>
      <c r="G482" s="186" t="s">
        <v>94</v>
      </c>
      <c r="H482" s="184" t="s">
        <v>256</v>
      </c>
      <c r="T482" s="184" t="s">
        <v>343</v>
      </c>
    </row>
    <row r="483" spans="1:20">
      <c r="A483" s="182">
        <v>44013</v>
      </c>
      <c r="B483" s="183">
        <v>0.54443287037037036</v>
      </c>
      <c r="C483" s="184" t="s">
        <v>67</v>
      </c>
      <c r="D483" s="184" t="s">
        <v>68</v>
      </c>
      <c r="E483" s="184" t="s">
        <v>45</v>
      </c>
      <c r="F483" s="182">
        <v>44162</v>
      </c>
      <c r="G483" s="186" t="s">
        <v>94</v>
      </c>
      <c r="H483" s="184" t="s">
        <v>101</v>
      </c>
      <c r="T483" s="184" t="s">
        <v>343</v>
      </c>
    </row>
    <row r="484" spans="1:20">
      <c r="A484" s="182">
        <v>44013</v>
      </c>
      <c r="B484" s="183">
        <v>0.5557523148148148</v>
      </c>
      <c r="C484" s="184" t="s">
        <v>67</v>
      </c>
      <c r="D484" s="184" t="s">
        <v>68</v>
      </c>
      <c r="E484" s="184" t="s">
        <v>96</v>
      </c>
      <c r="F484" s="182">
        <v>44025</v>
      </c>
      <c r="G484" s="186" t="s">
        <v>99</v>
      </c>
      <c r="H484" s="184" t="s">
        <v>308</v>
      </c>
      <c r="T484" s="184" t="s">
        <v>344</v>
      </c>
    </row>
    <row r="485" spans="1:20">
      <c r="A485" s="182">
        <v>44014</v>
      </c>
      <c r="B485" s="183">
        <v>0.44162037037037033</v>
      </c>
      <c r="C485" s="184" t="s">
        <v>73</v>
      </c>
      <c r="D485" s="184" t="s">
        <v>68</v>
      </c>
      <c r="E485" s="184" t="s">
        <v>19</v>
      </c>
      <c r="F485" s="182">
        <v>44105</v>
      </c>
      <c r="G485" s="186" t="s">
        <v>114</v>
      </c>
      <c r="H485" s="184" t="s">
        <v>322</v>
      </c>
      <c r="T485" s="184" t="s">
        <v>343</v>
      </c>
    </row>
    <row r="486" spans="1:20">
      <c r="A486" s="182">
        <v>44014</v>
      </c>
      <c r="B486" s="183">
        <v>0.4422106481481482</v>
      </c>
      <c r="C486" s="184" t="s">
        <v>73</v>
      </c>
      <c r="D486" s="184" t="s">
        <v>68</v>
      </c>
      <c r="E486" s="184" t="s">
        <v>45</v>
      </c>
      <c r="F486" s="182">
        <v>44162</v>
      </c>
      <c r="G486" s="186" t="s">
        <v>114</v>
      </c>
      <c r="H486" s="184" t="s">
        <v>182</v>
      </c>
      <c r="T486" s="184" t="s">
        <v>345</v>
      </c>
    </row>
    <row r="487" spans="1:20">
      <c r="A487" s="182">
        <v>44014</v>
      </c>
      <c r="B487" s="183">
        <v>0.58697916666666672</v>
      </c>
      <c r="C487" s="184" t="s">
        <v>73</v>
      </c>
      <c r="D487" s="184" t="s">
        <v>68</v>
      </c>
      <c r="E487" s="184" t="s">
        <v>96</v>
      </c>
      <c r="F487" s="182">
        <v>44025</v>
      </c>
      <c r="G487" s="186" t="s">
        <v>94</v>
      </c>
      <c r="H487" s="184" t="s">
        <v>190</v>
      </c>
      <c r="T487" s="184" t="s">
        <v>346</v>
      </c>
    </row>
    <row r="488" spans="1:20">
      <c r="A488" s="182">
        <v>44015</v>
      </c>
      <c r="B488" s="183">
        <v>0.44684027777777779</v>
      </c>
      <c r="C488" s="184" t="s">
        <v>73</v>
      </c>
      <c r="D488" s="184" t="s">
        <v>68</v>
      </c>
      <c r="E488" s="184" t="s">
        <v>85</v>
      </c>
      <c r="F488" s="182">
        <v>44042</v>
      </c>
      <c r="G488" s="186" t="s">
        <v>94</v>
      </c>
      <c r="H488" s="184" t="s">
        <v>101</v>
      </c>
      <c r="T488" s="184" t="s">
        <v>347</v>
      </c>
    </row>
    <row r="489" spans="1:20">
      <c r="A489" s="182">
        <v>44018</v>
      </c>
      <c r="B489" s="183">
        <v>0.39125000000000004</v>
      </c>
      <c r="C489" s="184" t="s">
        <v>73</v>
      </c>
      <c r="D489" s="184" t="s">
        <v>68</v>
      </c>
      <c r="E489" s="184" t="s">
        <v>124</v>
      </c>
      <c r="F489" s="182">
        <v>44029</v>
      </c>
      <c r="G489" s="186" t="s">
        <v>99</v>
      </c>
      <c r="H489" s="184" t="s">
        <v>209</v>
      </c>
      <c r="T489" s="184" t="s">
        <v>344</v>
      </c>
    </row>
    <row r="490" spans="1:20">
      <c r="A490" s="182">
        <v>44018</v>
      </c>
      <c r="B490" s="183">
        <v>0.49876157407407407</v>
      </c>
      <c r="C490" s="184" t="s">
        <v>67</v>
      </c>
      <c r="D490" s="184" t="s">
        <v>68</v>
      </c>
      <c r="E490" s="184" t="s">
        <v>124</v>
      </c>
      <c r="F490" s="182">
        <v>44029</v>
      </c>
      <c r="G490" s="186" t="s">
        <v>99</v>
      </c>
      <c r="H490" s="184" t="s">
        <v>206</v>
      </c>
      <c r="T490" s="184" t="s">
        <v>348</v>
      </c>
    </row>
    <row r="491" spans="1:20">
      <c r="A491" s="182">
        <v>44020</v>
      </c>
      <c r="B491" s="183">
        <v>0.4001851851851852</v>
      </c>
      <c r="C491" s="184" t="s">
        <v>67</v>
      </c>
      <c r="D491" s="184" t="s">
        <v>68</v>
      </c>
      <c r="E491" s="184" t="s">
        <v>69</v>
      </c>
      <c r="F491" s="182">
        <v>44079</v>
      </c>
      <c r="G491" s="186" t="s">
        <v>112</v>
      </c>
      <c r="H491" s="184" t="s">
        <v>87</v>
      </c>
      <c r="T491" s="184" t="s">
        <v>349</v>
      </c>
    </row>
    <row r="492" spans="1:20">
      <c r="A492" s="182">
        <v>44020</v>
      </c>
      <c r="B492" s="183">
        <v>0.40100694444444446</v>
      </c>
      <c r="C492" s="184" t="s">
        <v>67</v>
      </c>
      <c r="D492" s="184" t="s">
        <v>68</v>
      </c>
      <c r="E492" s="184" t="s">
        <v>69</v>
      </c>
      <c r="F492" s="182">
        <v>44153</v>
      </c>
      <c r="G492" s="186" t="s">
        <v>114</v>
      </c>
      <c r="H492" s="184" t="s">
        <v>87</v>
      </c>
      <c r="T492" s="184" t="s">
        <v>349</v>
      </c>
    </row>
    <row r="493" spans="1:20">
      <c r="A493" s="182">
        <v>44020</v>
      </c>
      <c r="B493" s="183">
        <v>0.40263888888888894</v>
      </c>
      <c r="C493" s="184" t="s">
        <v>67</v>
      </c>
      <c r="D493" s="184" t="s">
        <v>68</v>
      </c>
      <c r="E493" s="184" t="s">
        <v>69</v>
      </c>
      <c r="F493" s="182">
        <v>43886</v>
      </c>
      <c r="G493" s="186" t="s">
        <v>70</v>
      </c>
      <c r="H493" s="184" t="s">
        <v>71</v>
      </c>
      <c r="T493" s="184" t="s">
        <v>349</v>
      </c>
    </row>
    <row r="494" spans="1:20">
      <c r="A494" s="182">
        <v>44021</v>
      </c>
      <c r="B494" s="183">
        <v>0.41848379629629634</v>
      </c>
      <c r="C494" s="184" t="s">
        <v>67</v>
      </c>
      <c r="D494" s="184" t="s">
        <v>68</v>
      </c>
      <c r="E494" s="184" t="s">
        <v>96</v>
      </c>
      <c r="F494" s="182">
        <v>44025</v>
      </c>
      <c r="G494" s="186" t="s">
        <v>99</v>
      </c>
      <c r="H494" s="184" t="s">
        <v>308</v>
      </c>
      <c r="T494" s="184" t="s">
        <v>153</v>
      </c>
    </row>
    <row r="495" spans="1:20">
      <c r="A495" s="182">
        <v>44021</v>
      </c>
      <c r="B495" s="183">
        <v>0.41878472222222224</v>
      </c>
      <c r="C495" s="184" t="s">
        <v>67</v>
      </c>
      <c r="D495" s="184" t="s">
        <v>68</v>
      </c>
      <c r="E495" s="184" t="s">
        <v>96</v>
      </c>
      <c r="F495" s="182">
        <v>44092</v>
      </c>
      <c r="G495" s="186" t="s">
        <v>94</v>
      </c>
      <c r="H495" s="184" t="s">
        <v>87</v>
      </c>
      <c r="T495" s="184" t="s">
        <v>153</v>
      </c>
    </row>
    <row r="496" spans="1:20">
      <c r="A496" s="182">
        <v>44021</v>
      </c>
      <c r="B496" s="183">
        <v>0.63590277777777782</v>
      </c>
      <c r="C496" s="184" t="s">
        <v>73</v>
      </c>
      <c r="D496" s="184" t="s">
        <v>68</v>
      </c>
      <c r="E496" s="184" t="s">
        <v>19</v>
      </c>
      <c r="F496" s="182">
        <v>44070</v>
      </c>
      <c r="G496" s="186" t="s">
        <v>94</v>
      </c>
      <c r="H496" s="184" t="s">
        <v>101</v>
      </c>
      <c r="T496" s="184" t="s">
        <v>350</v>
      </c>
    </row>
    <row r="497" spans="1:20">
      <c r="A497" s="182">
        <v>44021</v>
      </c>
      <c r="B497" s="183">
        <v>0.64718750000000003</v>
      </c>
      <c r="C497" s="184" t="s">
        <v>67</v>
      </c>
      <c r="D497" s="184" t="s">
        <v>91</v>
      </c>
      <c r="E497" s="184" t="s">
        <v>19</v>
      </c>
      <c r="F497" s="182">
        <v>44105</v>
      </c>
      <c r="G497" s="186" t="s">
        <v>75</v>
      </c>
      <c r="H497" s="184" t="s">
        <v>92</v>
      </c>
    </row>
    <row r="498" spans="1:20">
      <c r="A498" s="182">
        <v>44022</v>
      </c>
      <c r="B498" s="183">
        <v>0.68956018518518514</v>
      </c>
      <c r="C498" s="184" t="s">
        <v>67</v>
      </c>
      <c r="D498" s="184" t="s">
        <v>68</v>
      </c>
      <c r="E498" s="184" t="s">
        <v>85</v>
      </c>
      <c r="F498" s="182">
        <v>44091</v>
      </c>
      <c r="G498" s="186" t="s">
        <v>94</v>
      </c>
      <c r="H498" s="184" t="s">
        <v>103</v>
      </c>
      <c r="T498" s="184" t="s">
        <v>351</v>
      </c>
    </row>
    <row r="499" spans="1:20">
      <c r="A499" s="182">
        <v>44024</v>
      </c>
      <c r="B499" s="183">
        <v>0.46034722222222224</v>
      </c>
      <c r="C499" s="184" t="s">
        <v>67</v>
      </c>
      <c r="D499" s="184" t="s">
        <v>78</v>
      </c>
      <c r="E499" s="184" t="s">
        <v>85</v>
      </c>
      <c r="F499" s="182">
        <v>44091</v>
      </c>
      <c r="G499" s="186" t="s">
        <v>75</v>
      </c>
      <c r="H499" s="184" t="s">
        <v>107</v>
      </c>
    </row>
    <row r="500" spans="1:20">
      <c r="A500" s="182">
        <v>44027</v>
      </c>
      <c r="B500" s="183">
        <v>0.48859953703703707</v>
      </c>
      <c r="C500" s="184" t="s">
        <v>73</v>
      </c>
      <c r="D500" s="184" t="s">
        <v>68</v>
      </c>
      <c r="E500" s="184" t="s">
        <v>89</v>
      </c>
      <c r="F500" s="182">
        <v>44120</v>
      </c>
      <c r="G500" s="186" t="s">
        <v>94</v>
      </c>
      <c r="H500" s="184" t="s">
        <v>103</v>
      </c>
      <c r="T500" s="184" t="s">
        <v>257</v>
      </c>
    </row>
    <row r="501" spans="1:20">
      <c r="A501" s="182">
        <v>44028</v>
      </c>
      <c r="B501" s="183">
        <v>0.58296296296296302</v>
      </c>
      <c r="C501" s="184" t="s">
        <v>67</v>
      </c>
      <c r="D501" s="184" t="s">
        <v>68</v>
      </c>
      <c r="E501" s="184" t="s">
        <v>124</v>
      </c>
      <c r="F501" s="182">
        <v>44029</v>
      </c>
      <c r="G501" s="186" t="s">
        <v>99</v>
      </c>
      <c r="H501" s="184" t="s">
        <v>190</v>
      </c>
      <c r="T501" s="184" t="s">
        <v>234</v>
      </c>
    </row>
    <row r="502" spans="1:20">
      <c r="A502" s="182">
        <v>44028</v>
      </c>
      <c r="B502" s="183">
        <v>0.58339120370370368</v>
      </c>
      <c r="C502" s="184" t="s">
        <v>67</v>
      </c>
      <c r="D502" s="184" t="s">
        <v>68</v>
      </c>
      <c r="E502" s="184" t="s">
        <v>124</v>
      </c>
      <c r="F502" s="182">
        <v>44148</v>
      </c>
      <c r="G502" s="186" t="s">
        <v>94</v>
      </c>
      <c r="H502" s="184" t="s">
        <v>76</v>
      </c>
      <c r="T502" s="184" t="s">
        <v>234</v>
      </c>
    </row>
    <row r="503" spans="1:20">
      <c r="A503" s="182">
        <v>44028</v>
      </c>
      <c r="B503" s="183">
        <v>0.62184027777777773</v>
      </c>
      <c r="C503" s="184" t="s">
        <v>67</v>
      </c>
      <c r="D503" s="184" t="s">
        <v>68</v>
      </c>
      <c r="E503" s="184" t="s">
        <v>96</v>
      </c>
      <c r="F503" s="182">
        <v>44092</v>
      </c>
      <c r="G503" s="186" t="s">
        <v>94</v>
      </c>
      <c r="H503" s="184" t="s">
        <v>101</v>
      </c>
      <c r="T503" s="184" t="s">
        <v>352</v>
      </c>
    </row>
    <row r="504" spans="1:20">
      <c r="A504" s="182">
        <v>44028</v>
      </c>
      <c r="B504" s="183">
        <v>0.63967592592592593</v>
      </c>
      <c r="C504" s="184" t="s">
        <v>67</v>
      </c>
      <c r="D504" s="184" t="s">
        <v>68</v>
      </c>
      <c r="E504" s="184" t="s">
        <v>124</v>
      </c>
      <c r="F504" s="182">
        <v>44148</v>
      </c>
      <c r="G504" s="186" t="s">
        <v>353</v>
      </c>
      <c r="H504" s="184" t="s">
        <v>225</v>
      </c>
      <c r="T504" s="184" t="s">
        <v>354</v>
      </c>
    </row>
    <row r="505" spans="1:20">
      <c r="A505" s="182">
        <v>44028</v>
      </c>
      <c r="B505" s="183">
        <v>0.67098379629629623</v>
      </c>
      <c r="C505" s="184" t="s">
        <v>67</v>
      </c>
      <c r="D505" s="184" t="s">
        <v>68</v>
      </c>
      <c r="E505" s="184" t="s">
        <v>96</v>
      </c>
      <c r="F505" s="182">
        <v>44025</v>
      </c>
      <c r="G505" s="186" t="s">
        <v>99</v>
      </c>
      <c r="H505" s="184" t="s">
        <v>185</v>
      </c>
      <c r="T505" s="184" t="s">
        <v>355</v>
      </c>
    </row>
    <row r="506" spans="1:20">
      <c r="A506" s="182">
        <v>44028</v>
      </c>
      <c r="B506" s="183">
        <v>0.70879629629629637</v>
      </c>
      <c r="C506" s="184" t="s">
        <v>67</v>
      </c>
      <c r="D506" s="184" t="s">
        <v>91</v>
      </c>
      <c r="E506" s="184" t="s">
        <v>19</v>
      </c>
      <c r="F506" s="182">
        <v>44105</v>
      </c>
      <c r="G506" s="186" t="s">
        <v>115</v>
      </c>
      <c r="H506" s="184" t="s">
        <v>278</v>
      </c>
    </row>
    <row r="507" spans="1:20">
      <c r="A507" s="182">
        <v>44028</v>
      </c>
      <c r="B507" s="183">
        <v>0.70921296296296299</v>
      </c>
      <c r="C507" s="184" t="s">
        <v>67</v>
      </c>
      <c r="D507" s="184" t="s">
        <v>91</v>
      </c>
      <c r="E507" s="184" t="s">
        <v>19</v>
      </c>
      <c r="F507" s="182">
        <v>44105</v>
      </c>
      <c r="G507" s="186" t="s">
        <v>75</v>
      </c>
      <c r="H507" s="184" t="s">
        <v>92</v>
      </c>
    </row>
    <row r="508" spans="1:20">
      <c r="A508" s="182">
        <v>44029</v>
      </c>
      <c r="B508" s="183">
        <v>0.70281249999999995</v>
      </c>
      <c r="C508" s="184" t="s">
        <v>73</v>
      </c>
      <c r="D508" s="184" t="s">
        <v>91</v>
      </c>
      <c r="E508" s="184" t="s">
        <v>96</v>
      </c>
      <c r="F508" s="182">
        <v>44092</v>
      </c>
      <c r="G508" s="186" t="s">
        <v>94</v>
      </c>
      <c r="H508" s="184" t="s">
        <v>295</v>
      </c>
    </row>
    <row r="509" spans="1:20">
      <c r="A509" s="182">
        <v>44032</v>
      </c>
      <c r="B509" s="183">
        <v>0.45027777777777778</v>
      </c>
      <c r="C509" s="184" t="s">
        <v>67</v>
      </c>
      <c r="D509" s="184" t="s">
        <v>78</v>
      </c>
      <c r="E509" s="184" t="s">
        <v>45</v>
      </c>
      <c r="F509" s="182">
        <v>44086</v>
      </c>
      <c r="G509" s="186" t="s">
        <v>94</v>
      </c>
      <c r="H509" s="184" t="s">
        <v>280</v>
      </c>
    </row>
    <row r="510" spans="1:20">
      <c r="A510" s="182">
        <v>44032</v>
      </c>
      <c r="B510" s="183">
        <v>0.45043981481481482</v>
      </c>
      <c r="C510" s="184" t="s">
        <v>67</v>
      </c>
      <c r="D510" s="184" t="s">
        <v>78</v>
      </c>
      <c r="E510" s="184" t="s">
        <v>19</v>
      </c>
      <c r="F510" s="182">
        <v>44105</v>
      </c>
      <c r="G510" s="186" t="s">
        <v>94</v>
      </c>
      <c r="H510" s="184" t="s">
        <v>113</v>
      </c>
    </row>
    <row r="511" spans="1:20">
      <c r="A511" s="182">
        <v>44032</v>
      </c>
      <c r="B511" s="183">
        <v>0.45527777777777773</v>
      </c>
      <c r="C511" s="184" t="s">
        <v>67</v>
      </c>
      <c r="D511" s="184" t="s">
        <v>68</v>
      </c>
      <c r="E511" s="184" t="s">
        <v>124</v>
      </c>
      <c r="F511" s="182">
        <v>44029</v>
      </c>
      <c r="G511" s="186" t="s">
        <v>99</v>
      </c>
      <c r="H511" s="184" t="s">
        <v>308</v>
      </c>
      <c r="T511" s="184" t="s">
        <v>163</v>
      </c>
    </row>
    <row r="512" spans="1:20">
      <c r="A512" s="182">
        <v>44032</v>
      </c>
      <c r="B512" s="183">
        <v>0.45569444444444446</v>
      </c>
      <c r="C512" s="184" t="s">
        <v>67</v>
      </c>
      <c r="D512" s="184" t="s">
        <v>68</v>
      </c>
      <c r="E512" s="184" t="s">
        <v>124</v>
      </c>
      <c r="F512" s="182">
        <v>44148</v>
      </c>
      <c r="G512" s="186" t="s">
        <v>94</v>
      </c>
      <c r="H512" s="184" t="s">
        <v>231</v>
      </c>
      <c r="T512" s="184" t="s">
        <v>163</v>
      </c>
    </row>
    <row r="513" spans="1:20">
      <c r="A513" s="182">
        <v>44033</v>
      </c>
      <c r="B513" s="183">
        <v>0.38482638888888893</v>
      </c>
      <c r="C513" s="184" t="s">
        <v>73</v>
      </c>
      <c r="D513" s="184" t="s">
        <v>91</v>
      </c>
      <c r="E513" s="184" t="s">
        <v>19</v>
      </c>
      <c r="F513" s="182">
        <v>44105</v>
      </c>
      <c r="G513" s="186" t="s">
        <v>94</v>
      </c>
      <c r="H513" s="184" t="s">
        <v>227</v>
      </c>
    </row>
    <row r="514" spans="1:20">
      <c r="A514" s="182">
        <v>44033</v>
      </c>
      <c r="B514" s="183">
        <v>0.69851851851851843</v>
      </c>
      <c r="C514" s="184" t="s">
        <v>73</v>
      </c>
      <c r="D514" s="184" t="s">
        <v>78</v>
      </c>
      <c r="E514" s="184" t="s">
        <v>96</v>
      </c>
      <c r="F514" s="182">
        <v>44092</v>
      </c>
      <c r="G514" s="186" t="s">
        <v>94</v>
      </c>
      <c r="H514" s="184" t="s">
        <v>80</v>
      </c>
    </row>
    <row r="515" spans="1:20">
      <c r="A515" s="182">
        <v>44034</v>
      </c>
      <c r="B515" s="183">
        <v>0.43388888888888894</v>
      </c>
      <c r="C515" s="184" t="s">
        <v>73</v>
      </c>
      <c r="D515" s="184" t="s">
        <v>68</v>
      </c>
      <c r="E515" s="184" t="s">
        <v>85</v>
      </c>
      <c r="F515" s="182">
        <v>44042</v>
      </c>
      <c r="G515" s="186" t="s">
        <v>94</v>
      </c>
      <c r="H515" s="184" t="s">
        <v>103</v>
      </c>
      <c r="T515" s="184" t="s">
        <v>356</v>
      </c>
    </row>
    <row r="516" spans="1:20">
      <c r="A516" s="182">
        <v>44034</v>
      </c>
      <c r="B516" s="183">
        <v>0.44069444444444444</v>
      </c>
      <c r="C516" s="184" t="s">
        <v>73</v>
      </c>
      <c r="D516" s="184" t="s">
        <v>91</v>
      </c>
      <c r="E516" s="184" t="s">
        <v>45</v>
      </c>
      <c r="F516" s="182">
        <v>44086</v>
      </c>
      <c r="G516" s="186" t="s">
        <v>114</v>
      </c>
      <c r="H516" s="184" t="s">
        <v>337</v>
      </c>
    </row>
    <row r="517" spans="1:20">
      <c r="A517" s="182">
        <v>44034</v>
      </c>
      <c r="B517" s="183">
        <v>0.4409837962962963</v>
      </c>
      <c r="C517" s="184" t="s">
        <v>73</v>
      </c>
      <c r="D517" s="184" t="s">
        <v>91</v>
      </c>
      <c r="E517" s="184" t="s">
        <v>19</v>
      </c>
      <c r="F517" s="182">
        <v>44105</v>
      </c>
      <c r="G517" s="186" t="s">
        <v>94</v>
      </c>
      <c r="H517" s="184" t="s">
        <v>285</v>
      </c>
    </row>
    <row r="518" spans="1:20">
      <c r="A518" s="182">
        <v>44034</v>
      </c>
      <c r="B518" s="183">
        <v>0.46579861111111115</v>
      </c>
      <c r="C518" s="184" t="s">
        <v>73</v>
      </c>
      <c r="D518" s="184" t="s">
        <v>68</v>
      </c>
      <c r="E518" s="184" t="s">
        <v>69</v>
      </c>
      <c r="F518" s="182">
        <v>44079</v>
      </c>
      <c r="G518" s="186" t="s">
        <v>114</v>
      </c>
      <c r="H518" s="184" t="s">
        <v>103</v>
      </c>
      <c r="T518" s="184" t="s">
        <v>357</v>
      </c>
    </row>
    <row r="519" spans="1:20">
      <c r="A519" s="182">
        <v>44039</v>
      </c>
      <c r="B519" s="183">
        <v>0.68006944444444439</v>
      </c>
      <c r="C519" s="184" t="s">
        <v>73</v>
      </c>
      <c r="D519" s="184" t="s">
        <v>78</v>
      </c>
      <c r="E519" s="184" t="s">
        <v>95</v>
      </c>
      <c r="F519" s="182">
        <v>44119</v>
      </c>
      <c r="G519" s="186" t="s">
        <v>70</v>
      </c>
      <c r="H519" s="184" t="s">
        <v>86</v>
      </c>
    </row>
    <row r="520" spans="1:20">
      <c r="A520" s="182">
        <v>44040</v>
      </c>
      <c r="B520" s="183">
        <v>0.41651620370370374</v>
      </c>
      <c r="C520" s="184" t="s">
        <v>67</v>
      </c>
      <c r="D520" s="184" t="s">
        <v>68</v>
      </c>
      <c r="E520" s="184" t="s">
        <v>45</v>
      </c>
      <c r="F520" s="182">
        <v>44162</v>
      </c>
      <c r="G520" s="186" t="s">
        <v>94</v>
      </c>
      <c r="H520" s="184" t="s">
        <v>117</v>
      </c>
      <c r="T520" s="184" t="s">
        <v>358</v>
      </c>
    </row>
    <row r="521" spans="1:20">
      <c r="A521" s="182">
        <v>44040</v>
      </c>
      <c r="B521" s="183">
        <v>0.58795138888888887</v>
      </c>
      <c r="C521" s="184" t="s">
        <v>67</v>
      </c>
      <c r="D521" s="184" t="s">
        <v>91</v>
      </c>
      <c r="E521" s="184" t="s">
        <v>85</v>
      </c>
      <c r="F521" s="182">
        <v>44091</v>
      </c>
      <c r="G521" s="186" t="s">
        <v>94</v>
      </c>
      <c r="H521" s="184" t="s">
        <v>92</v>
      </c>
    </row>
    <row r="522" spans="1:20">
      <c r="A522" s="182">
        <v>44040</v>
      </c>
      <c r="B522" s="183">
        <v>0.70608796296296295</v>
      </c>
      <c r="C522" s="184" t="s">
        <v>67</v>
      </c>
      <c r="D522" s="184" t="s">
        <v>78</v>
      </c>
      <c r="E522" s="184" t="s">
        <v>45</v>
      </c>
      <c r="F522" s="182">
        <v>44086</v>
      </c>
      <c r="G522" s="186" t="s">
        <v>94</v>
      </c>
      <c r="H522" s="184" t="s">
        <v>186</v>
      </c>
    </row>
    <row r="523" spans="1:20">
      <c r="A523" s="182">
        <v>44040</v>
      </c>
      <c r="B523" s="183">
        <v>0.70629629629629631</v>
      </c>
      <c r="C523" s="184" t="s">
        <v>67</v>
      </c>
      <c r="D523" s="184" t="s">
        <v>78</v>
      </c>
      <c r="E523" s="184" t="s">
        <v>19</v>
      </c>
      <c r="F523" s="182">
        <v>44105</v>
      </c>
      <c r="G523" s="186" t="s">
        <v>94</v>
      </c>
      <c r="H523" s="184" t="s">
        <v>265</v>
      </c>
    </row>
    <row r="524" spans="1:20">
      <c r="A524" s="182">
        <v>44041</v>
      </c>
      <c r="B524" s="183">
        <v>0.43168981481481478</v>
      </c>
      <c r="C524" s="184" t="s">
        <v>67</v>
      </c>
      <c r="D524" s="184" t="s">
        <v>68</v>
      </c>
      <c r="E524" s="184" t="s">
        <v>69</v>
      </c>
      <c r="F524" s="182">
        <v>44079</v>
      </c>
      <c r="G524" s="186" t="s">
        <v>83</v>
      </c>
      <c r="H524" s="184" t="s">
        <v>273</v>
      </c>
      <c r="T524" s="184" t="s">
        <v>359</v>
      </c>
    </row>
    <row r="525" spans="1:20">
      <c r="A525" s="182">
        <v>44041</v>
      </c>
      <c r="B525" s="183">
        <v>0.45643518518518517</v>
      </c>
      <c r="C525" s="184" t="s">
        <v>67</v>
      </c>
      <c r="D525" s="184" t="s">
        <v>159</v>
      </c>
      <c r="E525" s="184" t="s">
        <v>96</v>
      </c>
      <c r="F525" s="182">
        <v>44092</v>
      </c>
      <c r="G525" s="186" t="s">
        <v>70</v>
      </c>
      <c r="H525" s="184" t="s">
        <v>216</v>
      </c>
    </row>
    <row r="526" spans="1:20">
      <c r="A526" s="182">
        <v>44041</v>
      </c>
      <c r="B526" s="183">
        <v>0.58446759259259262</v>
      </c>
      <c r="C526" s="184" t="s">
        <v>67</v>
      </c>
      <c r="D526" s="184" t="s">
        <v>68</v>
      </c>
      <c r="E526" s="184" t="s">
        <v>69</v>
      </c>
      <c r="F526" s="182">
        <v>44079</v>
      </c>
      <c r="G526" s="186" t="s">
        <v>114</v>
      </c>
      <c r="H526" s="184" t="s">
        <v>260</v>
      </c>
      <c r="T526" s="184" t="s">
        <v>359</v>
      </c>
    </row>
    <row r="527" spans="1:20">
      <c r="A527" s="182">
        <v>44041</v>
      </c>
      <c r="B527" s="183">
        <v>0.69783564814814814</v>
      </c>
      <c r="C527" s="184" t="s">
        <v>67</v>
      </c>
      <c r="D527" s="184" t="s">
        <v>159</v>
      </c>
      <c r="E527" s="184" t="s">
        <v>19</v>
      </c>
      <c r="F527" s="182">
        <v>44105</v>
      </c>
      <c r="G527" s="186" t="s">
        <v>70</v>
      </c>
      <c r="H527" s="184" t="s">
        <v>216</v>
      </c>
    </row>
    <row r="528" spans="1:20">
      <c r="A528" s="182">
        <v>44042</v>
      </c>
      <c r="B528" s="183">
        <v>0.46178240740740745</v>
      </c>
      <c r="C528" s="184" t="s">
        <v>67</v>
      </c>
      <c r="D528" s="184" t="s">
        <v>78</v>
      </c>
      <c r="E528" s="184" t="s">
        <v>69</v>
      </c>
      <c r="F528" s="182">
        <v>44079</v>
      </c>
      <c r="G528" s="186" t="s">
        <v>94</v>
      </c>
      <c r="H528" s="184" t="s">
        <v>267</v>
      </c>
    </row>
    <row r="529" spans="1:20">
      <c r="A529" s="182">
        <v>44042</v>
      </c>
      <c r="B529" s="183">
        <v>0.67743055555555554</v>
      </c>
      <c r="C529" s="184" t="s">
        <v>73</v>
      </c>
      <c r="D529" s="184" t="s">
        <v>68</v>
      </c>
      <c r="E529" s="184" t="s">
        <v>19</v>
      </c>
      <c r="F529" s="182">
        <v>44105</v>
      </c>
      <c r="G529" s="186" t="s">
        <v>114</v>
      </c>
      <c r="H529" s="184" t="s">
        <v>308</v>
      </c>
      <c r="T529" s="184" t="s">
        <v>360</v>
      </c>
    </row>
    <row r="530" spans="1:20">
      <c r="A530" s="182">
        <v>44042</v>
      </c>
      <c r="B530" s="183">
        <v>0.6787037037037037</v>
      </c>
      <c r="C530" s="184" t="s">
        <v>73</v>
      </c>
      <c r="D530" s="184" t="s">
        <v>68</v>
      </c>
      <c r="E530" s="184" t="s">
        <v>95</v>
      </c>
      <c r="F530" s="182">
        <v>44119</v>
      </c>
      <c r="G530" s="186" t="s">
        <v>94</v>
      </c>
      <c r="H530" s="184" t="s">
        <v>182</v>
      </c>
      <c r="T530" s="184" t="s">
        <v>360</v>
      </c>
    </row>
    <row r="531" spans="1:20">
      <c r="A531" s="182">
        <v>44043</v>
      </c>
      <c r="B531" s="183">
        <v>0.47015046296296298</v>
      </c>
      <c r="C531" s="184" t="s">
        <v>73</v>
      </c>
      <c r="D531" s="184" t="s">
        <v>91</v>
      </c>
      <c r="E531" s="184" t="s">
        <v>96</v>
      </c>
      <c r="F531" s="182">
        <v>44092</v>
      </c>
      <c r="G531" s="186" t="s">
        <v>94</v>
      </c>
      <c r="H531" s="184" t="s">
        <v>296</v>
      </c>
    </row>
    <row r="532" spans="1:20">
      <c r="A532" s="182">
        <v>44043</v>
      </c>
      <c r="B532" s="183">
        <v>0.52913194444444445</v>
      </c>
      <c r="C532" s="184" t="s">
        <v>73</v>
      </c>
      <c r="D532" s="184" t="s">
        <v>68</v>
      </c>
      <c r="E532" s="184" t="s">
        <v>96</v>
      </c>
      <c r="F532" s="182">
        <v>44142</v>
      </c>
      <c r="G532" s="186" t="s">
        <v>114</v>
      </c>
      <c r="H532" s="184" t="s">
        <v>103</v>
      </c>
      <c r="T532" s="184" t="s">
        <v>361</v>
      </c>
    </row>
    <row r="533" spans="1:20">
      <c r="A533" s="182">
        <v>44043</v>
      </c>
      <c r="B533" s="183">
        <v>0.56640046296296298</v>
      </c>
      <c r="C533" s="184" t="s">
        <v>73</v>
      </c>
      <c r="D533" s="184" t="s">
        <v>68</v>
      </c>
      <c r="E533" s="184" t="s">
        <v>45</v>
      </c>
      <c r="F533" s="182">
        <v>44162</v>
      </c>
      <c r="G533" s="186" t="s">
        <v>94</v>
      </c>
      <c r="H533" s="184" t="s">
        <v>259</v>
      </c>
      <c r="T533" s="184" t="s">
        <v>74</v>
      </c>
    </row>
    <row r="534" spans="1:20">
      <c r="A534" s="182">
        <v>44043</v>
      </c>
      <c r="B534" s="183">
        <v>0.5669791666666667</v>
      </c>
      <c r="C534" s="184" t="s">
        <v>73</v>
      </c>
      <c r="D534" s="184" t="s">
        <v>68</v>
      </c>
      <c r="E534" s="184" t="s">
        <v>45</v>
      </c>
      <c r="F534" s="182">
        <v>44240</v>
      </c>
      <c r="G534" s="186" t="s">
        <v>70</v>
      </c>
      <c r="H534" s="184" t="s">
        <v>71</v>
      </c>
      <c r="T534" s="184" t="s">
        <v>74</v>
      </c>
    </row>
    <row r="535" spans="1:20">
      <c r="A535" s="182">
        <v>44043</v>
      </c>
      <c r="B535" s="183">
        <v>0.68289351851851843</v>
      </c>
      <c r="C535" s="184" t="s">
        <v>73</v>
      </c>
      <c r="D535" s="184" t="s">
        <v>91</v>
      </c>
      <c r="E535" s="184" t="s">
        <v>96</v>
      </c>
      <c r="F535" s="182">
        <v>44092</v>
      </c>
      <c r="G535" s="186" t="s">
        <v>115</v>
      </c>
      <c r="H535" s="184" t="s">
        <v>337</v>
      </c>
    </row>
    <row r="536" spans="1:20">
      <c r="A536" s="182">
        <v>44043</v>
      </c>
      <c r="B536" s="183">
        <v>0.68312499999999998</v>
      </c>
      <c r="C536" s="184" t="s">
        <v>73</v>
      </c>
      <c r="D536" s="184" t="s">
        <v>91</v>
      </c>
      <c r="E536" s="184" t="s">
        <v>96</v>
      </c>
      <c r="F536" s="182">
        <v>44208</v>
      </c>
      <c r="G536" s="186" t="s">
        <v>75</v>
      </c>
      <c r="H536" s="184" t="s">
        <v>92</v>
      </c>
    </row>
    <row r="537" spans="1:20">
      <c r="A537" s="182">
        <v>44046</v>
      </c>
      <c r="B537" s="183">
        <v>0.4337037037037037</v>
      </c>
      <c r="C537" s="184" t="s">
        <v>67</v>
      </c>
      <c r="D537" s="184" t="s">
        <v>68</v>
      </c>
      <c r="E537" s="184" t="s">
        <v>96</v>
      </c>
      <c r="F537" s="182">
        <v>44092</v>
      </c>
      <c r="G537" s="186" t="s">
        <v>94</v>
      </c>
      <c r="H537" s="184" t="s">
        <v>103</v>
      </c>
      <c r="T537" s="184" t="s">
        <v>362</v>
      </c>
    </row>
    <row r="538" spans="1:20">
      <c r="A538" s="182">
        <v>44046</v>
      </c>
      <c r="B538" s="183">
        <v>0.7166203703703703</v>
      </c>
      <c r="C538" s="184" t="s">
        <v>67</v>
      </c>
      <c r="D538" s="184" t="s">
        <v>78</v>
      </c>
      <c r="E538" s="184" t="s">
        <v>85</v>
      </c>
      <c r="F538" s="182">
        <v>44091</v>
      </c>
      <c r="G538" s="186" t="s">
        <v>94</v>
      </c>
      <c r="H538" s="184" t="s">
        <v>106</v>
      </c>
    </row>
    <row r="539" spans="1:20">
      <c r="A539" s="182">
        <v>44047</v>
      </c>
      <c r="B539" s="183">
        <v>0.46439814814814812</v>
      </c>
      <c r="C539" s="184" t="s">
        <v>67</v>
      </c>
      <c r="D539" s="184" t="s">
        <v>68</v>
      </c>
      <c r="E539" s="184" t="s">
        <v>19</v>
      </c>
      <c r="F539" s="182">
        <v>44105</v>
      </c>
      <c r="G539" s="186" t="s">
        <v>94</v>
      </c>
      <c r="H539" s="184" t="s">
        <v>190</v>
      </c>
      <c r="T539" s="184" t="s">
        <v>363</v>
      </c>
    </row>
    <row r="540" spans="1:20">
      <c r="A540" s="182">
        <v>44048</v>
      </c>
      <c r="B540" s="183">
        <v>0.47891203703703705</v>
      </c>
      <c r="C540" s="184" t="s">
        <v>73</v>
      </c>
      <c r="D540" s="184" t="s">
        <v>68</v>
      </c>
      <c r="E540" s="184" t="s">
        <v>69</v>
      </c>
      <c r="F540" s="182">
        <v>44153</v>
      </c>
      <c r="G540" s="186" t="s">
        <v>94</v>
      </c>
      <c r="H540" s="184" t="s">
        <v>101</v>
      </c>
      <c r="T540" s="184" t="s">
        <v>364</v>
      </c>
    </row>
    <row r="541" spans="1:20">
      <c r="A541" s="182">
        <v>44048</v>
      </c>
      <c r="B541" s="183">
        <v>0.66707175925925932</v>
      </c>
      <c r="C541" s="184" t="s">
        <v>73</v>
      </c>
      <c r="D541" s="184" t="s">
        <v>91</v>
      </c>
      <c r="E541" s="184" t="s">
        <v>85</v>
      </c>
      <c r="F541" s="182">
        <v>44091</v>
      </c>
      <c r="G541" s="186" t="s">
        <v>114</v>
      </c>
      <c r="H541" s="184" t="s">
        <v>285</v>
      </c>
    </row>
    <row r="542" spans="1:20">
      <c r="A542" s="182">
        <v>44048</v>
      </c>
      <c r="B542" s="183">
        <v>0.71061342592592591</v>
      </c>
      <c r="C542" s="184" t="s">
        <v>67</v>
      </c>
      <c r="D542" s="184" t="s">
        <v>68</v>
      </c>
      <c r="E542" s="184" t="s">
        <v>19</v>
      </c>
      <c r="F542" s="182">
        <v>44105</v>
      </c>
      <c r="G542" s="186" t="s">
        <v>70</v>
      </c>
      <c r="H542" s="184" t="s">
        <v>206</v>
      </c>
      <c r="T542" s="184" t="s">
        <v>365</v>
      </c>
    </row>
    <row r="543" spans="1:20">
      <c r="A543" s="182">
        <v>44049</v>
      </c>
      <c r="B543" s="183">
        <v>0.40869212962962959</v>
      </c>
      <c r="C543" s="184" t="s">
        <v>73</v>
      </c>
      <c r="D543" s="184" t="s">
        <v>68</v>
      </c>
      <c r="E543" s="184" t="s">
        <v>96</v>
      </c>
      <c r="F543" s="182">
        <v>44142</v>
      </c>
      <c r="G543" s="186" t="s">
        <v>99</v>
      </c>
      <c r="H543" s="184" t="s">
        <v>101</v>
      </c>
      <c r="T543" s="184" t="s">
        <v>366</v>
      </c>
    </row>
    <row r="544" spans="1:20">
      <c r="A544" s="182">
        <v>44049</v>
      </c>
      <c r="B544" s="183">
        <v>0.40947916666666667</v>
      </c>
      <c r="C544" s="184" t="s">
        <v>73</v>
      </c>
      <c r="D544" s="184" t="s">
        <v>68</v>
      </c>
      <c r="E544" s="184" t="s">
        <v>69</v>
      </c>
      <c r="F544" s="182">
        <v>44079</v>
      </c>
      <c r="G544" s="186" t="s">
        <v>160</v>
      </c>
      <c r="H544" s="184" t="s">
        <v>259</v>
      </c>
      <c r="T544" s="184" t="s">
        <v>366</v>
      </c>
    </row>
    <row r="545" spans="1:20">
      <c r="A545" s="182">
        <v>44049</v>
      </c>
      <c r="B545" s="183">
        <v>0.41032407407407406</v>
      </c>
      <c r="C545" s="184" t="s">
        <v>73</v>
      </c>
      <c r="D545" s="184" t="s">
        <v>68</v>
      </c>
      <c r="E545" s="184" t="s">
        <v>69</v>
      </c>
      <c r="F545" s="182">
        <v>44153</v>
      </c>
      <c r="G545" s="186" t="s">
        <v>115</v>
      </c>
      <c r="H545" s="184" t="s">
        <v>76</v>
      </c>
      <c r="T545" s="184" t="s">
        <v>366</v>
      </c>
    </row>
    <row r="546" spans="1:20">
      <c r="A546" s="182">
        <v>44049</v>
      </c>
      <c r="B546" s="183">
        <v>0.41089120370370374</v>
      </c>
      <c r="C546" s="184" t="s">
        <v>73</v>
      </c>
      <c r="D546" s="184" t="s">
        <v>68</v>
      </c>
      <c r="E546" s="184" t="s">
        <v>69</v>
      </c>
      <c r="F546" s="182">
        <v>44252</v>
      </c>
      <c r="G546" s="186" t="s">
        <v>99</v>
      </c>
      <c r="H546" s="184" t="s">
        <v>222</v>
      </c>
      <c r="T546" s="184" t="s">
        <v>366</v>
      </c>
    </row>
    <row r="547" spans="1:20">
      <c r="A547" s="182">
        <v>44049</v>
      </c>
      <c r="B547" s="183">
        <v>0.41521990740740744</v>
      </c>
      <c r="C547" s="184" t="s">
        <v>73</v>
      </c>
      <c r="D547" s="184" t="s">
        <v>68</v>
      </c>
      <c r="E547" s="184" t="s">
        <v>69</v>
      </c>
      <c r="F547" s="182">
        <v>44079</v>
      </c>
      <c r="G547" s="186" t="s">
        <v>94</v>
      </c>
      <c r="H547" s="184" t="s">
        <v>273</v>
      </c>
      <c r="T547" s="184" t="s">
        <v>367</v>
      </c>
    </row>
    <row r="548" spans="1:20">
      <c r="A548" s="182">
        <v>44049</v>
      </c>
      <c r="B548" s="183">
        <v>0.47018518518518521</v>
      </c>
      <c r="C548" s="184" t="s">
        <v>73</v>
      </c>
      <c r="D548" s="184" t="s">
        <v>78</v>
      </c>
      <c r="E548" s="184" t="s">
        <v>19</v>
      </c>
      <c r="F548" s="182">
        <v>44070</v>
      </c>
      <c r="G548" s="186" t="s">
        <v>99</v>
      </c>
      <c r="H548" s="184" t="s">
        <v>368</v>
      </c>
    </row>
    <row r="549" spans="1:20">
      <c r="A549" s="182">
        <v>44049</v>
      </c>
      <c r="B549" s="183">
        <v>0.4762615740740741</v>
      </c>
      <c r="C549" s="184" t="s">
        <v>73</v>
      </c>
      <c r="D549" s="184" t="s">
        <v>68</v>
      </c>
      <c r="E549" s="184" t="s">
        <v>19</v>
      </c>
      <c r="F549" s="182">
        <v>44070</v>
      </c>
      <c r="G549" s="186" t="s">
        <v>94</v>
      </c>
      <c r="H549" s="184" t="s">
        <v>103</v>
      </c>
      <c r="T549" s="184" t="s">
        <v>369</v>
      </c>
    </row>
    <row r="550" spans="1:20">
      <c r="A550" s="182">
        <v>44049</v>
      </c>
      <c r="B550" s="183">
        <v>0.49163194444444441</v>
      </c>
      <c r="C550" s="184" t="s">
        <v>73</v>
      </c>
      <c r="D550" s="184" t="s">
        <v>68</v>
      </c>
      <c r="E550" s="184" t="s">
        <v>85</v>
      </c>
      <c r="F550" s="182">
        <v>44091</v>
      </c>
      <c r="G550" s="186" t="s">
        <v>94</v>
      </c>
      <c r="H550" s="184" t="s">
        <v>182</v>
      </c>
      <c r="T550" s="184" t="s">
        <v>370</v>
      </c>
    </row>
    <row r="551" spans="1:20">
      <c r="A551" s="182">
        <v>44049</v>
      </c>
      <c r="B551" s="183">
        <v>0.64020833333333338</v>
      </c>
      <c r="C551" s="184" t="s">
        <v>73</v>
      </c>
      <c r="D551" s="184" t="s">
        <v>78</v>
      </c>
      <c r="E551" s="184" t="s">
        <v>45</v>
      </c>
      <c r="F551" s="182">
        <v>44086</v>
      </c>
      <c r="G551" s="186" t="s">
        <v>94</v>
      </c>
      <c r="H551" s="184" t="s">
        <v>208</v>
      </c>
    </row>
    <row r="552" spans="1:20">
      <c r="A552" s="182">
        <v>44049</v>
      </c>
      <c r="B552" s="183">
        <v>0.64045138888888886</v>
      </c>
      <c r="C552" s="184" t="s">
        <v>73</v>
      </c>
      <c r="D552" s="184" t="s">
        <v>78</v>
      </c>
      <c r="E552" s="184" t="s">
        <v>19</v>
      </c>
      <c r="F552" s="182">
        <v>44105</v>
      </c>
      <c r="G552" s="186" t="s">
        <v>94</v>
      </c>
      <c r="H552" s="184" t="s">
        <v>288</v>
      </c>
    </row>
    <row r="553" spans="1:20">
      <c r="A553" s="182">
        <v>44050</v>
      </c>
      <c r="B553" s="183">
        <v>0.38621527777777781</v>
      </c>
      <c r="C553" s="184" t="s">
        <v>73</v>
      </c>
      <c r="D553" s="184" t="s">
        <v>68</v>
      </c>
      <c r="E553" s="184" t="s">
        <v>124</v>
      </c>
      <c r="F553" s="182">
        <v>44148</v>
      </c>
      <c r="G553" s="186" t="s">
        <v>114</v>
      </c>
      <c r="H553" s="184" t="s">
        <v>241</v>
      </c>
      <c r="T553" s="184" t="s">
        <v>371</v>
      </c>
    </row>
    <row r="554" spans="1:20">
      <c r="A554" s="182">
        <v>44050</v>
      </c>
      <c r="B554" s="183">
        <v>0.46182870370370371</v>
      </c>
      <c r="C554" s="184" t="s">
        <v>73</v>
      </c>
      <c r="D554" s="184" t="s">
        <v>68</v>
      </c>
      <c r="E554" s="184" t="s">
        <v>19</v>
      </c>
      <c r="F554" s="182">
        <v>44070</v>
      </c>
      <c r="G554" s="186" t="s">
        <v>99</v>
      </c>
      <c r="H554" s="184" t="s">
        <v>101</v>
      </c>
      <c r="T554" s="184" t="s">
        <v>369</v>
      </c>
    </row>
    <row r="555" spans="1:20">
      <c r="A555" s="182">
        <v>44050</v>
      </c>
      <c r="B555" s="183">
        <v>0.46239583333333334</v>
      </c>
      <c r="C555" s="184" t="s">
        <v>73</v>
      </c>
      <c r="D555" s="184" t="s">
        <v>91</v>
      </c>
      <c r="E555" s="184" t="s">
        <v>19</v>
      </c>
      <c r="F555" s="182">
        <v>44070</v>
      </c>
      <c r="G555" s="186" t="s">
        <v>94</v>
      </c>
      <c r="H555" s="184" t="s">
        <v>337</v>
      </c>
    </row>
    <row r="556" spans="1:20">
      <c r="A556" s="182">
        <v>44054</v>
      </c>
      <c r="B556" s="183">
        <v>0.46407407407407408</v>
      </c>
      <c r="C556" s="184" t="s">
        <v>67</v>
      </c>
      <c r="D556" s="184" t="s">
        <v>78</v>
      </c>
      <c r="E556" s="184" t="s">
        <v>69</v>
      </c>
      <c r="F556" s="182">
        <v>44079</v>
      </c>
      <c r="G556" s="186" t="s">
        <v>114</v>
      </c>
      <c r="H556" s="184" t="s">
        <v>82</v>
      </c>
    </row>
    <row r="557" spans="1:20">
      <c r="A557" s="182">
        <v>44054</v>
      </c>
      <c r="B557" s="183">
        <v>0.46435185185185185</v>
      </c>
      <c r="C557" s="184" t="s">
        <v>67</v>
      </c>
      <c r="D557" s="184" t="s">
        <v>78</v>
      </c>
      <c r="E557" s="184" t="s">
        <v>89</v>
      </c>
      <c r="F557" s="182">
        <v>44120</v>
      </c>
      <c r="G557" s="186" t="s">
        <v>94</v>
      </c>
      <c r="H557" s="184" t="s">
        <v>106</v>
      </c>
    </row>
    <row r="558" spans="1:20">
      <c r="A558" s="182">
        <v>44054</v>
      </c>
      <c r="B558" s="183">
        <v>0.64173611111111117</v>
      </c>
      <c r="C558" s="184" t="s">
        <v>67</v>
      </c>
      <c r="D558" s="184" t="s">
        <v>68</v>
      </c>
      <c r="E558" s="184" t="s">
        <v>95</v>
      </c>
      <c r="F558" s="182">
        <v>44119</v>
      </c>
      <c r="G558" s="186" t="s">
        <v>94</v>
      </c>
      <c r="H558" s="184" t="s">
        <v>117</v>
      </c>
      <c r="T558" s="184" t="s">
        <v>257</v>
      </c>
    </row>
    <row r="559" spans="1:20">
      <c r="A559" s="182">
        <v>44055</v>
      </c>
      <c r="B559" s="183">
        <v>0.46091435185185187</v>
      </c>
      <c r="C559" s="184" t="s">
        <v>67</v>
      </c>
      <c r="D559" s="184" t="s">
        <v>68</v>
      </c>
      <c r="E559" s="184" t="s">
        <v>95</v>
      </c>
      <c r="F559" s="182">
        <v>44119</v>
      </c>
      <c r="G559" s="186" t="s">
        <v>94</v>
      </c>
      <c r="H559" s="184" t="s">
        <v>259</v>
      </c>
      <c r="T559" s="184" t="s">
        <v>372</v>
      </c>
    </row>
    <row r="560" spans="1:20">
      <c r="A560" s="182">
        <v>44060</v>
      </c>
      <c r="B560" s="183">
        <v>0.54002314814814811</v>
      </c>
      <c r="C560" s="184" t="s">
        <v>67</v>
      </c>
      <c r="D560" s="184" t="s">
        <v>91</v>
      </c>
      <c r="E560" s="184" t="s">
        <v>45</v>
      </c>
      <c r="F560" s="182">
        <v>44162</v>
      </c>
      <c r="G560" s="186" t="s">
        <v>70</v>
      </c>
      <c r="H560" s="184" t="s">
        <v>93</v>
      </c>
    </row>
    <row r="561" spans="1:20">
      <c r="A561" s="182">
        <v>44060</v>
      </c>
      <c r="B561" s="183">
        <v>0.60837962962962966</v>
      </c>
      <c r="C561" s="184" t="s">
        <v>67</v>
      </c>
      <c r="D561" s="184" t="s">
        <v>78</v>
      </c>
      <c r="E561" s="184" t="s">
        <v>85</v>
      </c>
      <c r="F561" s="182">
        <v>44091</v>
      </c>
      <c r="G561" s="186" t="s">
        <v>94</v>
      </c>
      <c r="H561" s="184" t="s">
        <v>113</v>
      </c>
    </row>
    <row r="562" spans="1:20">
      <c r="A562" s="182">
        <v>44060</v>
      </c>
      <c r="B562" s="183">
        <v>0.66987268518518517</v>
      </c>
      <c r="C562" s="184" t="s">
        <v>67</v>
      </c>
      <c r="D562" s="184" t="s">
        <v>78</v>
      </c>
      <c r="E562" s="184" t="s">
        <v>95</v>
      </c>
      <c r="F562" s="182">
        <v>44119</v>
      </c>
      <c r="G562" s="186" t="s">
        <v>94</v>
      </c>
      <c r="H562" s="184" t="s">
        <v>107</v>
      </c>
    </row>
    <row r="563" spans="1:20">
      <c r="A563" s="182">
        <v>44060</v>
      </c>
      <c r="B563" s="183">
        <v>0.69215277777777784</v>
      </c>
      <c r="C563" s="184" t="s">
        <v>73</v>
      </c>
      <c r="D563" s="184" t="s">
        <v>68</v>
      </c>
      <c r="E563" s="184" t="s">
        <v>95</v>
      </c>
      <c r="F563" s="182">
        <v>44119</v>
      </c>
      <c r="G563" s="186" t="s">
        <v>99</v>
      </c>
      <c r="H563" s="184" t="s">
        <v>117</v>
      </c>
      <c r="T563" s="184" t="s">
        <v>306</v>
      </c>
    </row>
    <row r="564" spans="1:20">
      <c r="A564" s="182">
        <v>44061</v>
      </c>
      <c r="B564" s="183">
        <v>0.41017361111111111</v>
      </c>
      <c r="C564" s="184" t="s">
        <v>67</v>
      </c>
      <c r="D564" s="184" t="s">
        <v>91</v>
      </c>
      <c r="E564" s="184" t="s">
        <v>85</v>
      </c>
      <c r="F564" s="182">
        <v>44091</v>
      </c>
      <c r="G564" s="186" t="s">
        <v>94</v>
      </c>
      <c r="H564" s="184" t="s">
        <v>120</v>
      </c>
    </row>
    <row r="565" spans="1:20">
      <c r="A565" s="182">
        <v>44061</v>
      </c>
      <c r="B565" s="183">
        <v>0.41052083333333328</v>
      </c>
      <c r="C565" s="184" t="s">
        <v>67</v>
      </c>
      <c r="D565" s="184" t="s">
        <v>91</v>
      </c>
      <c r="E565" s="184" t="s">
        <v>69</v>
      </c>
      <c r="F565" s="182">
        <v>44079</v>
      </c>
      <c r="G565" s="186" t="s">
        <v>119</v>
      </c>
      <c r="H565" s="184" t="s">
        <v>120</v>
      </c>
    </row>
    <row r="566" spans="1:20">
      <c r="A566" s="182">
        <v>44061</v>
      </c>
      <c r="B566" s="183">
        <v>0.6297800925925926</v>
      </c>
      <c r="C566" s="184" t="s">
        <v>67</v>
      </c>
      <c r="D566" s="184" t="s">
        <v>91</v>
      </c>
      <c r="E566" s="184" t="s">
        <v>69</v>
      </c>
      <c r="F566" s="182">
        <v>44079</v>
      </c>
      <c r="G566" s="186" t="s">
        <v>236</v>
      </c>
      <c r="H566" s="184" t="s">
        <v>278</v>
      </c>
    </row>
    <row r="567" spans="1:20">
      <c r="A567" s="182">
        <v>44061</v>
      </c>
      <c r="B567" s="183">
        <v>0.62989583333333332</v>
      </c>
      <c r="C567" s="184" t="s">
        <v>67</v>
      </c>
      <c r="D567" s="184" t="s">
        <v>91</v>
      </c>
      <c r="E567" s="184" t="s">
        <v>69</v>
      </c>
      <c r="F567" s="182">
        <v>44153</v>
      </c>
      <c r="G567" s="186" t="s">
        <v>105</v>
      </c>
      <c r="H567" s="184" t="s">
        <v>227</v>
      </c>
    </row>
    <row r="568" spans="1:20">
      <c r="A568" s="182">
        <v>44062</v>
      </c>
      <c r="B568" s="183">
        <v>0.37107638888888889</v>
      </c>
      <c r="C568" s="184" t="s">
        <v>67</v>
      </c>
      <c r="D568" s="184" t="s">
        <v>91</v>
      </c>
      <c r="E568" s="184" t="s">
        <v>69</v>
      </c>
      <c r="F568" s="182">
        <v>44153</v>
      </c>
      <c r="G568" s="186" t="s">
        <v>114</v>
      </c>
      <c r="H568" s="184" t="s">
        <v>120</v>
      </c>
    </row>
    <row r="569" spans="1:20">
      <c r="A569" s="182">
        <v>44062</v>
      </c>
      <c r="B569" s="183">
        <v>0.45748842592592592</v>
      </c>
      <c r="C569" s="184" t="s">
        <v>67</v>
      </c>
      <c r="D569" s="184" t="s">
        <v>78</v>
      </c>
      <c r="E569" s="184" t="s">
        <v>45</v>
      </c>
      <c r="F569" s="182">
        <v>44086</v>
      </c>
      <c r="G569" s="186" t="s">
        <v>94</v>
      </c>
      <c r="H569" s="184" t="s">
        <v>268</v>
      </c>
    </row>
    <row r="570" spans="1:20">
      <c r="A570" s="182">
        <v>44062</v>
      </c>
      <c r="B570" s="183">
        <v>0.45774305555555556</v>
      </c>
      <c r="C570" s="184" t="s">
        <v>67</v>
      </c>
      <c r="D570" s="184" t="s">
        <v>78</v>
      </c>
      <c r="E570" s="184" t="s">
        <v>69</v>
      </c>
      <c r="F570" s="182">
        <v>44079</v>
      </c>
      <c r="G570" s="186" t="s">
        <v>99</v>
      </c>
      <c r="H570" s="184" t="s">
        <v>327</v>
      </c>
    </row>
    <row r="571" spans="1:20">
      <c r="A571" s="182">
        <v>44062</v>
      </c>
      <c r="B571" s="183">
        <v>0.56653935185185189</v>
      </c>
      <c r="C571" s="184" t="s">
        <v>67</v>
      </c>
      <c r="D571" s="184" t="s">
        <v>68</v>
      </c>
      <c r="E571" s="184" t="s">
        <v>19</v>
      </c>
      <c r="F571" s="182">
        <v>44105</v>
      </c>
      <c r="G571" s="186" t="s">
        <v>94</v>
      </c>
      <c r="H571" s="184" t="s">
        <v>209</v>
      </c>
      <c r="T571" s="184" t="s">
        <v>373</v>
      </c>
    </row>
    <row r="572" spans="1:20">
      <c r="A572" s="182">
        <v>44063</v>
      </c>
      <c r="B572" s="183">
        <v>0.41163194444444445</v>
      </c>
      <c r="C572" s="184" t="s">
        <v>67</v>
      </c>
      <c r="D572" s="184" t="s">
        <v>91</v>
      </c>
      <c r="E572" s="184" t="s">
        <v>96</v>
      </c>
      <c r="F572" s="182">
        <v>44092</v>
      </c>
      <c r="G572" s="186" t="s">
        <v>99</v>
      </c>
      <c r="H572" s="184" t="s">
        <v>193</v>
      </c>
    </row>
    <row r="573" spans="1:20">
      <c r="A573" s="182">
        <v>44063</v>
      </c>
      <c r="B573" s="183">
        <v>0.4117824074074074</v>
      </c>
      <c r="C573" s="184" t="s">
        <v>67</v>
      </c>
      <c r="D573" s="184" t="s">
        <v>91</v>
      </c>
      <c r="E573" s="184" t="s">
        <v>96</v>
      </c>
      <c r="F573" s="182">
        <v>44208</v>
      </c>
      <c r="G573" s="186" t="s">
        <v>94</v>
      </c>
      <c r="H573" s="184" t="s">
        <v>227</v>
      </c>
    </row>
    <row r="574" spans="1:20">
      <c r="A574" s="182">
        <v>44063</v>
      </c>
      <c r="B574" s="183">
        <v>0.6724768518518518</v>
      </c>
      <c r="C574" s="184" t="s">
        <v>73</v>
      </c>
      <c r="D574" s="184" t="s">
        <v>78</v>
      </c>
      <c r="E574" s="184" t="s">
        <v>96</v>
      </c>
      <c r="F574" s="182">
        <v>44092</v>
      </c>
      <c r="G574" s="186" t="s">
        <v>94</v>
      </c>
      <c r="H574" s="184" t="s">
        <v>98</v>
      </c>
    </row>
    <row r="575" spans="1:20">
      <c r="A575" s="182">
        <v>44063</v>
      </c>
      <c r="B575" s="183">
        <v>0.70829861111111114</v>
      </c>
      <c r="C575" s="184" t="s">
        <v>67</v>
      </c>
      <c r="D575" s="184" t="s">
        <v>91</v>
      </c>
      <c r="E575" s="184" t="s">
        <v>96</v>
      </c>
      <c r="F575" s="182">
        <v>44092</v>
      </c>
      <c r="G575" s="186" t="s">
        <v>94</v>
      </c>
      <c r="H575" s="184" t="s">
        <v>337</v>
      </c>
    </row>
    <row r="576" spans="1:20">
      <c r="A576" s="182">
        <v>44064</v>
      </c>
      <c r="B576" s="183">
        <v>0.4534259259259259</v>
      </c>
      <c r="C576" s="184" t="s">
        <v>67</v>
      </c>
      <c r="D576" s="184" t="s">
        <v>68</v>
      </c>
      <c r="E576" s="184" t="s">
        <v>19</v>
      </c>
      <c r="F576" s="182">
        <v>44105</v>
      </c>
      <c r="G576" s="186" t="s">
        <v>94</v>
      </c>
      <c r="H576" s="184" t="s">
        <v>272</v>
      </c>
      <c r="T576" s="184" t="s">
        <v>374</v>
      </c>
    </row>
    <row r="577" spans="1:20">
      <c r="A577" s="182">
        <v>44064</v>
      </c>
      <c r="B577" s="183">
        <v>0.45739583333333328</v>
      </c>
      <c r="C577" s="184" t="s">
        <v>67</v>
      </c>
      <c r="D577" s="184" t="s">
        <v>78</v>
      </c>
      <c r="E577" s="184" t="s">
        <v>19</v>
      </c>
      <c r="F577" s="182">
        <v>44105</v>
      </c>
      <c r="G577" s="186" t="s">
        <v>94</v>
      </c>
      <c r="H577" s="184" t="s">
        <v>267</v>
      </c>
    </row>
    <row r="578" spans="1:20">
      <c r="A578" s="182">
        <v>44064</v>
      </c>
      <c r="B578" s="183">
        <v>0.45760416666666665</v>
      </c>
      <c r="C578" s="184" t="s">
        <v>67</v>
      </c>
      <c r="D578" s="184" t="s">
        <v>78</v>
      </c>
      <c r="E578" s="184" t="s">
        <v>45</v>
      </c>
      <c r="F578" s="182">
        <v>44162</v>
      </c>
      <c r="G578" s="186" t="s">
        <v>94</v>
      </c>
      <c r="H578" s="184" t="s">
        <v>265</v>
      </c>
    </row>
    <row r="579" spans="1:20">
      <c r="A579" s="182">
        <v>44064</v>
      </c>
      <c r="B579" s="183">
        <v>0.46912037037037035</v>
      </c>
      <c r="C579" s="184" t="s">
        <v>67</v>
      </c>
      <c r="D579" s="184" t="s">
        <v>78</v>
      </c>
      <c r="E579" s="184" t="s">
        <v>19</v>
      </c>
      <c r="F579" s="182">
        <v>44105</v>
      </c>
      <c r="G579" s="186" t="s">
        <v>94</v>
      </c>
      <c r="H579" s="184" t="s">
        <v>327</v>
      </c>
    </row>
    <row r="580" spans="1:20">
      <c r="A580" s="182">
        <v>44067</v>
      </c>
      <c r="B580" s="183">
        <v>0.44107638888888889</v>
      </c>
      <c r="C580" s="184" t="s">
        <v>67</v>
      </c>
      <c r="D580" s="184" t="s">
        <v>68</v>
      </c>
      <c r="E580" s="184" t="s">
        <v>96</v>
      </c>
      <c r="F580" s="182">
        <v>44142</v>
      </c>
      <c r="G580" s="186" t="s">
        <v>99</v>
      </c>
      <c r="H580" s="184" t="s">
        <v>87</v>
      </c>
      <c r="T580" s="184" t="s">
        <v>328</v>
      </c>
    </row>
    <row r="581" spans="1:20">
      <c r="A581" s="182">
        <v>44068</v>
      </c>
      <c r="B581" s="183">
        <v>0.40482638888888894</v>
      </c>
      <c r="C581" s="184" t="s">
        <v>67</v>
      </c>
      <c r="D581" s="184" t="s">
        <v>91</v>
      </c>
      <c r="E581" s="184" t="s">
        <v>96</v>
      </c>
      <c r="F581" s="182">
        <v>44092</v>
      </c>
      <c r="G581" s="186" t="s">
        <v>94</v>
      </c>
      <c r="H581" s="184" t="s">
        <v>295</v>
      </c>
    </row>
    <row r="582" spans="1:20">
      <c r="A582" s="182">
        <v>44068</v>
      </c>
      <c r="B582" s="183">
        <v>0.45931712962962962</v>
      </c>
      <c r="C582" s="184" t="s">
        <v>67</v>
      </c>
      <c r="D582" s="184" t="s">
        <v>68</v>
      </c>
      <c r="E582" s="184" t="s">
        <v>45</v>
      </c>
      <c r="F582" s="182">
        <v>44162</v>
      </c>
      <c r="G582" s="186" t="s">
        <v>112</v>
      </c>
      <c r="H582" s="184" t="s">
        <v>260</v>
      </c>
      <c r="T582" s="184" t="s">
        <v>375</v>
      </c>
    </row>
    <row r="583" spans="1:20">
      <c r="A583" s="182">
        <v>44068</v>
      </c>
      <c r="B583" s="183">
        <v>0.46050925925925923</v>
      </c>
      <c r="C583" s="184" t="s">
        <v>67</v>
      </c>
      <c r="D583" s="184" t="s">
        <v>68</v>
      </c>
      <c r="E583" s="184" t="s">
        <v>85</v>
      </c>
      <c r="F583" s="182">
        <v>44091</v>
      </c>
      <c r="G583" s="186" t="s">
        <v>94</v>
      </c>
      <c r="H583" s="184" t="s">
        <v>117</v>
      </c>
      <c r="T583" s="184" t="s">
        <v>376</v>
      </c>
    </row>
    <row r="584" spans="1:20">
      <c r="A584" s="182">
        <v>44068</v>
      </c>
      <c r="B584" s="183">
        <v>0.58307870370370374</v>
      </c>
      <c r="C584" s="184" t="s">
        <v>67</v>
      </c>
      <c r="D584" s="184" t="s">
        <v>68</v>
      </c>
      <c r="E584" s="184" t="s">
        <v>124</v>
      </c>
      <c r="F584" s="182">
        <v>44148</v>
      </c>
      <c r="G584" s="186" t="s">
        <v>99</v>
      </c>
      <c r="H584" s="184" t="s">
        <v>239</v>
      </c>
      <c r="T584" s="184" t="s">
        <v>234</v>
      </c>
    </row>
    <row r="585" spans="1:20">
      <c r="A585" s="182">
        <v>44068</v>
      </c>
      <c r="B585" s="183">
        <v>0.63806712962962964</v>
      </c>
      <c r="C585" s="184" t="s">
        <v>67</v>
      </c>
      <c r="D585" s="184" t="s">
        <v>68</v>
      </c>
      <c r="E585" s="184" t="s">
        <v>96</v>
      </c>
      <c r="F585" s="182">
        <v>44142</v>
      </c>
      <c r="G585" s="186" t="s">
        <v>94</v>
      </c>
      <c r="H585" s="184" t="s">
        <v>101</v>
      </c>
      <c r="T585" s="184" t="s">
        <v>377</v>
      </c>
    </row>
    <row r="586" spans="1:20">
      <c r="A586" s="182">
        <v>44068</v>
      </c>
      <c r="B586" s="183">
        <v>0.6385763888888889</v>
      </c>
      <c r="C586" s="184" t="s">
        <v>67</v>
      </c>
      <c r="D586" s="184" t="s">
        <v>68</v>
      </c>
      <c r="E586" s="184" t="s">
        <v>19</v>
      </c>
      <c r="F586" s="182">
        <v>44105</v>
      </c>
      <c r="G586" s="186" t="s">
        <v>94</v>
      </c>
      <c r="H586" s="184" t="s">
        <v>213</v>
      </c>
      <c r="T586" s="184" t="s">
        <v>377</v>
      </c>
    </row>
    <row r="587" spans="1:20">
      <c r="A587" s="182">
        <v>44069</v>
      </c>
      <c r="B587" s="183">
        <v>0.37284722222222227</v>
      </c>
      <c r="C587" s="184" t="s">
        <v>67</v>
      </c>
      <c r="D587" s="184" t="s">
        <v>68</v>
      </c>
      <c r="E587" s="184" t="s">
        <v>96</v>
      </c>
      <c r="F587" s="182">
        <v>44092</v>
      </c>
      <c r="G587" s="186" t="s">
        <v>94</v>
      </c>
      <c r="H587" s="184" t="s">
        <v>117</v>
      </c>
      <c r="T587" s="184" t="s">
        <v>378</v>
      </c>
    </row>
    <row r="588" spans="1:20">
      <c r="A588" s="182">
        <v>44069</v>
      </c>
      <c r="B588" s="183">
        <v>0.58527777777777779</v>
      </c>
      <c r="C588" s="184" t="s">
        <v>73</v>
      </c>
      <c r="D588" s="184" t="s">
        <v>78</v>
      </c>
      <c r="E588" s="184" t="s">
        <v>69</v>
      </c>
      <c r="F588" s="182">
        <v>44079</v>
      </c>
      <c r="G588" s="186" t="s">
        <v>94</v>
      </c>
      <c r="H588" s="184" t="s">
        <v>82</v>
      </c>
    </row>
    <row r="589" spans="1:20">
      <c r="A589" s="182">
        <v>44069</v>
      </c>
      <c r="B589" s="183">
        <v>0.5856365740740741</v>
      </c>
      <c r="C589" s="184" t="s">
        <v>73</v>
      </c>
      <c r="D589" s="184" t="s">
        <v>78</v>
      </c>
      <c r="E589" s="184" t="s">
        <v>85</v>
      </c>
      <c r="F589" s="182">
        <v>44091</v>
      </c>
      <c r="G589" s="186" t="s">
        <v>94</v>
      </c>
      <c r="H589" s="184" t="s">
        <v>265</v>
      </c>
    </row>
    <row r="590" spans="1:20">
      <c r="A590" s="182">
        <v>44069</v>
      </c>
      <c r="B590" s="183">
        <v>0.70351851851851854</v>
      </c>
      <c r="C590" s="184" t="s">
        <v>73</v>
      </c>
      <c r="D590" s="184" t="s">
        <v>78</v>
      </c>
      <c r="E590" s="184" t="s">
        <v>19</v>
      </c>
      <c r="F590" s="182">
        <v>44105</v>
      </c>
      <c r="G590" s="186" t="s">
        <v>114</v>
      </c>
      <c r="H590" s="184" t="s">
        <v>80</v>
      </c>
    </row>
    <row r="591" spans="1:20">
      <c r="A591" s="182">
        <v>44070</v>
      </c>
      <c r="B591" s="183">
        <v>0.39481481481481479</v>
      </c>
      <c r="C591" s="184" t="s">
        <v>67</v>
      </c>
      <c r="D591" s="184" t="s">
        <v>159</v>
      </c>
      <c r="E591" s="184" t="s">
        <v>19</v>
      </c>
      <c r="F591" s="182">
        <v>44105</v>
      </c>
      <c r="G591" s="186" t="s">
        <v>94</v>
      </c>
      <c r="H591" s="184" t="s">
        <v>215</v>
      </c>
    </row>
    <row r="592" spans="1:20">
      <c r="A592" s="182">
        <v>44070</v>
      </c>
      <c r="B592" s="183">
        <v>0.43424768518518514</v>
      </c>
      <c r="C592" s="184" t="s">
        <v>67</v>
      </c>
      <c r="D592" s="184" t="s">
        <v>91</v>
      </c>
      <c r="E592" s="184" t="s">
        <v>19</v>
      </c>
      <c r="F592" s="182">
        <v>44105</v>
      </c>
      <c r="G592" s="186" t="s">
        <v>99</v>
      </c>
      <c r="H592" s="184" t="s">
        <v>227</v>
      </c>
    </row>
    <row r="593" spans="1:20">
      <c r="A593" s="182">
        <v>44070</v>
      </c>
      <c r="B593" s="183">
        <v>0.45435185185185184</v>
      </c>
      <c r="C593" s="184" t="s">
        <v>67</v>
      </c>
      <c r="D593" s="184" t="s">
        <v>91</v>
      </c>
      <c r="E593" s="184" t="s">
        <v>204</v>
      </c>
      <c r="F593" s="182">
        <v>44112</v>
      </c>
      <c r="G593" s="186" t="s">
        <v>105</v>
      </c>
      <c r="H593" s="184" t="s">
        <v>227</v>
      </c>
    </row>
    <row r="594" spans="1:20">
      <c r="A594" s="182">
        <v>44070</v>
      </c>
      <c r="B594" s="183">
        <v>0.45479166666666665</v>
      </c>
      <c r="C594" s="184" t="s">
        <v>67</v>
      </c>
      <c r="D594" s="184" t="s">
        <v>91</v>
      </c>
      <c r="E594" s="184" t="s">
        <v>95</v>
      </c>
      <c r="F594" s="182">
        <v>44119</v>
      </c>
      <c r="G594" s="186" t="s">
        <v>83</v>
      </c>
      <c r="H594" s="184" t="s">
        <v>229</v>
      </c>
    </row>
    <row r="595" spans="1:20">
      <c r="A595" s="182">
        <v>44070</v>
      </c>
      <c r="B595" s="183">
        <v>0.45491898148148152</v>
      </c>
      <c r="C595" s="184" t="s">
        <v>67</v>
      </c>
      <c r="D595" s="184" t="s">
        <v>91</v>
      </c>
      <c r="E595" s="184" t="s">
        <v>95</v>
      </c>
      <c r="F595" s="182">
        <v>44119</v>
      </c>
      <c r="G595" s="186" t="s">
        <v>75</v>
      </c>
      <c r="H595" s="184" t="s">
        <v>218</v>
      </c>
    </row>
    <row r="596" spans="1:20">
      <c r="A596" s="182">
        <v>44070</v>
      </c>
      <c r="B596" s="183">
        <v>0.61656250000000001</v>
      </c>
      <c r="C596" s="184" t="s">
        <v>73</v>
      </c>
      <c r="D596" s="184" t="s">
        <v>68</v>
      </c>
      <c r="E596" s="184" t="s">
        <v>124</v>
      </c>
      <c r="F596" s="182">
        <v>44148</v>
      </c>
      <c r="G596" s="186" t="s">
        <v>94</v>
      </c>
      <c r="H596" s="184" t="s">
        <v>241</v>
      </c>
      <c r="T596" s="184" t="s">
        <v>177</v>
      </c>
    </row>
    <row r="597" spans="1:20">
      <c r="A597" s="182">
        <v>44071</v>
      </c>
      <c r="B597" s="183">
        <v>0.47864583333333338</v>
      </c>
      <c r="C597" s="184" t="s">
        <v>73</v>
      </c>
      <c r="D597" s="184" t="s">
        <v>68</v>
      </c>
      <c r="E597" s="184" t="s">
        <v>19</v>
      </c>
      <c r="F597" s="182">
        <v>44105</v>
      </c>
      <c r="G597" s="186" t="s">
        <v>94</v>
      </c>
      <c r="H597" s="184" t="s">
        <v>225</v>
      </c>
      <c r="T597" s="184" t="s">
        <v>379</v>
      </c>
    </row>
    <row r="598" spans="1:20">
      <c r="A598" s="182">
        <v>44071</v>
      </c>
      <c r="B598" s="183">
        <v>0.48055555555555557</v>
      </c>
      <c r="C598" s="184" t="s">
        <v>73</v>
      </c>
      <c r="D598" s="184" t="s">
        <v>68</v>
      </c>
      <c r="E598" s="184" t="s">
        <v>19</v>
      </c>
      <c r="F598" s="182">
        <v>44168</v>
      </c>
      <c r="G598" s="186" t="s">
        <v>105</v>
      </c>
      <c r="H598" s="184" t="s">
        <v>87</v>
      </c>
      <c r="T598" s="184" t="s">
        <v>379</v>
      </c>
    </row>
    <row r="599" spans="1:20">
      <c r="A599" s="182">
        <v>44071</v>
      </c>
      <c r="B599" s="183">
        <v>0.48121527777777778</v>
      </c>
      <c r="C599" s="184" t="s">
        <v>73</v>
      </c>
      <c r="D599" s="184" t="s">
        <v>68</v>
      </c>
      <c r="E599" s="184" t="s">
        <v>45</v>
      </c>
      <c r="F599" s="182">
        <v>44162</v>
      </c>
      <c r="G599" s="186" t="s">
        <v>94</v>
      </c>
      <c r="H599" s="184" t="s">
        <v>256</v>
      </c>
      <c r="T599" s="184" t="s">
        <v>379</v>
      </c>
    </row>
    <row r="600" spans="1:20">
      <c r="A600" s="182">
        <v>44071</v>
      </c>
      <c r="B600" s="183">
        <v>0.5870023148148148</v>
      </c>
      <c r="C600" s="184" t="s">
        <v>73</v>
      </c>
      <c r="D600" s="184" t="s">
        <v>78</v>
      </c>
      <c r="E600" s="184" t="s">
        <v>69</v>
      </c>
      <c r="F600" s="182">
        <v>44079</v>
      </c>
      <c r="G600" s="186" t="s">
        <v>94</v>
      </c>
      <c r="H600" s="184" t="s">
        <v>80</v>
      </c>
    </row>
    <row r="601" spans="1:20">
      <c r="A601" s="182">
        <v>44071</v>
      </c>
      <c r="B601" s="183">
        <v>0.60693287037037036</v>
      </c>
      <c r="C601" s="184" t="s">
        <v>73</v>
      </c>
      <c r="D601" s="184" t="s">
        <v>91</v>
      </c>
      <c r="E601" s="184" t="s">
        <v>19</v>
      </c>
      <c r="F601" s="182">
        <v>44105</v>
      </c>
      <c r="G601" s="186" t="s">
        <v>94</v>
      </c>
      <c r="H601" s="184" t="s">
        <v>285</v>
      </c>
    </row>
    <row r="602" spans="1:20">
      <c r="A602" s="182">
        <v>44071</v>
      </c>
      <c r="B602" s="183">
        <v>0.60726851851851849</v>
      </c>
      <c r="C602" s="184" t="s">
        <v>73</v>
      </c>
      <c r="D602" s="184" t="s">
        <v>91</v>
      </c>
      <c r="E602" s="184" t="s">
        <v>95</v>
      </c>
      <c r="F602" s="182">
        <v>44119</v>
      </c>
      <c r="G602" s="186" t="s">
        <v>94</v>
      </c>
      <c r="H602" s="184" t="s">
        <v>193</v>
      </c>
    </row>
    <row r="603" spans="1:20">
      <c r="A603" s="182">
        <v>44071</v>
      </c>
      <c r="B603" s="183">
        <v>0.6761921296296296</v>
      </c>
      <c r="C603" s="184" t="s">
        <v>73</v>
      </c>
      <c r="D603" s="184" t="s">
        <v>68</v>
      </c>
      <c r="E603" s="184" t="s">
        <v>19</v>
      </c>
      <c r="F603" s="182">
        <v>44168</v>
      </c>
      <c r="G603" s="186" t="s">
        <v>94</v>
      </c>
      <c r="H603" s="184" t="s">
        <v>101</v>
      </c>
      <c r="T603" s="184" t="s">
        <v>360</v>
      </c>
    </row>
    <row r="604" spans="1:20">
      <c r="A604" s="182">
        <v>44074</v>
      </c>
      <c r="B604" s="183">
        <v>0.39377314814814812</v>
      </c>
      <c r="C604" s="184" t="s">
        <v>73</v>
      </c>
      <c r="D604" s="184" t="s">
        <v>68</v>
      </c>
      <c r="E604" s="184" t="s">
        <v>96</v>
      </c>
      <c r="F604" s="182">
        <v>44142</v>
      </c>
      <c r="G604" s="186" t="s">
        <v>94</v>
      </c>
      <c r="H604" s="184" t="s">
        <v>103</v>
      </c>
      <c r="T604" s="184" t="s">
        <v>380</v>
      </c>
    </row>
    <row r="605" spans="1:20">
      <c r="A605" s="182">
        <v>44074</v>
      </c>
      <c r="B605" s="183">
        <v>0.47506944444444449</v>
      </c>
      <c r="C605" s="184" t="s">
        <v>67</v>
      </c>
      <c r="D605" s="184" t="s">
        <v>78</v>
      </c>
      <c r="E605" s="184" t="s">
        <v>124</v>
      </c>
      <c r="F605" s="182">
        <v>44148</v>
      </c>
      <c r="G605" s="186" t="s">
        <v>70</v>
      </c>
      <c r="H605" s="184" t="s">
        <v>86</v>
      </c>
    </row>
    <row r="606" spans="1:20">
      <c r="A606" s="182">
        <v>44074</v>
      </c>
      <c r="B606" s="183">
        <v>0.48712962962962963</v>
      </c>
      <c r="C606" s="184" t="s">
        <v>67</v>
      </c>
      <c r="D606" s="184" t="s">
        <v>78</v>
      </c>
      <c r="E606" s="184" t="s">
        <v>124</v>
      </c>
      <c r="F606" s="182">
        <v>44148</v>
      </c>
      <c r="G606" s="186" t="s">
        <v>381</v>
      </c>
      <c r="H606" s="184" t="s">
        <v>327</v>
      </c>
    </row>
    <row r="607" spans="1:20">
      <c r="A607" s="182">
        <v>44074</v>
      </c>
      <c r="B607" s="183">
        <v>0.6286342592592592</v>
      </c>
      <c r="C607" s="184" t="s">
        <v>73</v>
      </c>
      <c r="D607" s="184" t="s">
        <v>91</v>
      </c>
      <c r="E607" s="184" t="s">
        <v>96</v>
      </c>
      <c r="F607" s="182">
        <v>44092</v>
      </c>
      <c r="G607" s="186" t="s">
        <v>99</v>
      </c>
      <c r="H607" s="184" t="s">
        <v>337</v>
      </c>
    </row>
    <row r="608" spans="1:20">
      <c r="A608" s="182">
        <v>44074</v>
      </c>
      <c r="B608" s="183">
        <v>0.6303819444444444</v>
      </c>
      <c r="C608" s="184" t="s">
        <v>73</v>
      </c>
      <c r="D608" s="184" t="s">
        <v>91</v>
      </c>
      <c r="E608" s="184" t="s">
        <v>96</v>
      </c>
      <c r="F608" s="182">
        <v>44208</v>
      </c>
      <c r="G608" s="186" t="s">
        <v>94</v>
      </c>
      <c r="H608" s="184" t="s">
        <v>285</v>
      </c>
    </row>
    <row r="609" spans="1:20">
      <c r="A609" s="182">
        <v>44074</v>
      </c>
      <c r="B609" s="183">
        <v>0.63055555555555554</v>
      </c>
      <c r="C609" s="184" t="s">
        <v>73</v>
      </c>
      <c r="D609" s="184" t="s">
        <v>91</v>
      </c>
      <c r="E609" s="184" t="s">
        <v>85</v>
      </c>
      <c r="F609" s="182">
        <v>44091</v>
      </c>
      <c r="G609" s="186" t="s">
        <v>94</v>
      </c>
      <c r="H609" s="184" t="s">
        <v>229</v>
      </c>
    </row>
    <row r="610" spans="1:20">
      <c r="A610" s="182">
        <v>44074</v>
      </c>
      <c r="B610" s="183">
        <v>0.63285879629629627</v>
      </c>
      <c r="C610" s="184" t="s">
        <v>73</v>
      </c>
      <c r="D610" s="184" t="s">
        <v>68</v>
      </c>
      <c r="E610" s="184" t="s">
        <v>96</v>
      </c>
      <c r="F610" s="182">
        <v>44092</v>
      </c>
      <c r="G610" s="186" t="s">
        <v>94</v>
      </c>
      <c r="H610" s="184" t="s">
        <v>259</v>
      </c>
      <c r="T610" s="184" t="s">
        <v>382</v>
      </c>
    </row>
    <row r="611" spans="1:20">
      <c r="A611" s="182">
        <v>44074</v>
      </c>
      <c r="B611" s="183">
        <v>0.63870370370370366</v>
      </c>
      <c r="C611" s="184" t="s">
        <v>67</v>
      </c>
      <c r="D611" s="184" t="s">
        <v>68</v>
      </c>
      <c r="E611" s="184" t="s">
        <v>96</v>
      </c>
      <c r="F611" s="182">
        <v>44092</v>
      </c>
      <c r="G611" s="186" t="s">
        <v>99</v>
      </c>
      <c r="H611" s="184" t="s">
        <v>117</v>
      </c>
      <c r="T611" s="184" t="s">
        <v>383</v>
      </c>
    </row>
    <row r="612" spans="1:20">
      <c r="A612" s="182">
        <v>44074</v>
      </c>
      <c r="B612" s="183">
        <v>0.64208333333333334</v>
      </c>
      <c r="C612" s="184" t="s">
        <v>67</v>
      </c>
      <c r="D612" s="184" t="s">
        <v>91</v>
      </c>
      <c r="E612" s="184" t="s">
        <v>96</v>
      </c>
      <c r="F612" s="182">
        <v>44092</v>
      </c>
      <c r="G612" s="186" t="s">
        <v>99</v>
      </c>
      <c r="H612" s="184" t="s">
        <v>193</v>
      </c>
    </row>
    <row r="613" spans="1:20">
      <c r="A613" s="182">
        <v>44074</v>
      </c>
      <c r="B613" s="183">
        <v>0.65424768518518517</v>
      </c>
      <c r="C613" s="184" t="s">
        <v>67</v>
      </c>
      <c r="D613" s="184" t="s">
        <v>78</v>
      </c>
      <c r="E613" s="184" t="s">
        <v>204</v>
      </c>
      <c r="F613" s="182">
        <v>44112</v>
      </c>
      <c r="G613" s="186" t="s">
        <v>83</v>
      </c>
      <c r="H613" s="184" t="s">
        <v>265</v>
      </c>
    </row>
    <row r="614" spans="1:20">
      <c r="A614" s="182">
        <v>44074</v>
      </c>
      <c r="B614" s="183">
        <v>0.69380787037037039</v>
      </c>
      <c r="C614" s="184" t="s">
        <v>67</v>
      </c>
      <c r="D614" s="184" t="s">
        <v>91</v>
      </c>
      <c r="E614" s="184" t="s">
        <v>19</v>
      </c>
      <c r="F614" s="182">
        <v>44105</v>
      </c>
      <c r="G614" s="186" t="s">
        <v>94</v>
      </c>
      <c r="H614" s="184" t="s">
        <v>120</v>
      </c>
    </row>
    <row r="615" spans="1:20">
      <c r="A615" s="182">
        <v>44075</v>
      </c>
      <c r="B615" s="183">
        <v>0.38416666666666671</v>
      </c>
      <c r="C615" s="184" t="s">
        <v>73</v>
      </c>
      <c r="D615" s="184" t="s">
        <v>68</v>
      </c>
      <c r="E615" s="184" t="s">
        <v>96</v>
      </c>
      <c r="F615" s="182">
        <v>44092</v>
      </c>
      <c r="G615" s="186" t="s">
        <v>114</v>
      </c>
      <c r="H615" s="184" t="s">
        <v>273</v>
      </c>
      <c r="T615" s="184" t="s">
        <v>384</v>
      </c>
    </row>
    <row r="616" spans="1:20">
      <c r="A616" s="182">
        <v>44075</v>
      </c>
      <c r="B616" s="183">
        <v>0.39246527777777779</v>
      </c>
      <c r="C616" s="184" t="s">
        <v>73</v>
      </c>
      <c r="D616" s="184" t="s">
        <v>68</v>
      </c>
      <c r="E616" s="184" t="s">
        <v>96</v>
      </c>
      <c r="F616" s="182">
        <v>44092</v>
      </c>
      <c r="G616" s="186" t="s">
        <v>99</v>
      </c>
      <c r="H616" s="184" t="s">
        <v>259</v>
      </c>
      <c r="T616" s="184" t="s">
        <v>385</v>
      </c>
    </row>
    <row r="617" spans="1:20">
      <c r="A617" s="182">
        <v>44075</v>
      </c>
      <c r="B617" s="183">
        <v>0.53697916666666667</v>
      </c>
      <c r="C617" s="184" t="s">
        <v>67</v>
      </c>
      <c r="D617" s="184" t="s">
        <v>91</v>
      </c>
      <c r="E617" s="184" t="s">
        <v>96</v>
      </c>
      <c r="F617" s="182">
        <v>44092</v>
      </c>
      <c r="G617" s="186" t="s">
        <v>99</v>
      </c>
      <c r="H617" s="184" t="s">
        <v>218</v>
      </c>
    </row>
    <row r="618" spans="1:20">
      <c r="A618" s="182">
        <v>44075</v>
      </c>
      <c r="B618" s="183">
        <v>0.53710648148148155</v>
      </c>
      <c r="C618" s="184" t="s">
        <v>67</v>
      </c>
      <c r="D618" s="184" t="s">
        <v>91</v>
      </c>
      <c r="E618" s="184" t="s">
        <v>96</v>
      </c>
      <c r="F618" s="182">
        <v>44208</v>
      </c>
      <c r="G618" s="186" t="s">
        <v>94</v>
      </c>
      <c r="H618" s="184" t="s">
        <v>120</v>
      </c>
    </row>
    <row r="619" spans="1:20">
      <c r="A619" s="182">
        <v>44075</v>
      </c>
      <c r="B619" s="183">
        <v>0.56298611111111108</v>
      </c>
      <c r="C619" s="184" t="s">
        <v>67</v>
      </c>
      <c r="D619" s="184" t="s">
        <v>68</v>
      </c>
      <c r="E619" s="184" t="s">
        <v>96</v>
      </c>
      <c r="F619" s="182">
        <v>44092</v>
      </c>
      <c r="G619" s="186" t="s">
        <v>99</v>
      </c>
      <c r="H619" s="184" t="s">
        <v>117</v>
      </c>
      <c r="T619" s="184" t="s">
        <v>384</v>
      </c>
    </row>
    <row r="620" spans="1:20">
      <c r="A620" s="182">
        <v>44075</v>
      </c>
      <c r="B620" s="183">
        <v>0.61567129629629636</v>
      </c>
      <c r="C620" s="184" t="s">
        <v>73</v>
      </c>
      <c r="D620" s="184" t="s">
        <v>78</v>
      </c>
      <c r="E620" s="184" t="s">
        <v>19</v>
      </c>
      <c r="F620" s="182">
        <v>44105</v>
      </c>
      <c r="G620" s="186" t="s">
        <v>94</v>
      </c>
      <c r="H620" s="184" t="s">
        <v>98</v>
      </c>
    </row>
    <row r="621" spans="1:20">
      <c r="A621" s="182">
        <v>44075</v>
      </c>
      <c r="B621" s="183">
        <v>0.63421296296296303</v>
      </c>
      <c r="C621" s="184" t="s">
        <v>67</v>
      </c>
      <c r="D621" s="184" t="s">
        <v>78</v>
      </c>
      <c r="E621" s="184" t="s">
        <v>96</v>
      </c>
      <c r="F621" s="182">
        <v>44142</v>
      </c>
      <c r="G621" s="186" t="s">
        <v>94</v>
      </c>
      <c r="H621" s="184" t="s">
        <v>267</v>
      </c>
    </row>
    <row r="622" spans="1:20">
      <c r="A622" s="182">
        <v>44075</v>
      </c>
      <c r="B622" s="183">
        <v>0.66421296296296295</v>
      </c>
      <c r="C622" s="184" t="s">
        <v>73</v>
      </c>
      <c r="D622" s="184" t="s">
        <v>68</v>
      </c>
      <c r="E622" s="184" t="s">
        <v>85</v>
      </c>
      <c r="F622" s="182">
        <v>44091</v>
      </c>
      <c r="G622" s="186" t="s">
        <v>94</v>
      </c>
      <c r="H622" s="184" t="s">
        <v>259</v>
      </c>
      <c r="T622" s="184" t="s">
        <v>253</v>
      </c>
    </row>
    <row r="623" spans="1:20">
      <c r="A623" s="182">
        <v>44075</v>
      </c>
      <c r="B623" s="183">
        <v>0.67634259259259266</v>
      </c>
      <c r="C623" s="184" t="s">
        <v>73</v>
      </c>
      <c r="D623" s="184" t="s">
        <v>68</v>
      </c>
      <c r="E623" s="184" t="s">
        <v>85</v>
      </c>
      <c r="F623" s="182">
        <v>44091</v>
      </c>
      <c r="G623" s="186" t="s">
        <v>94</v>
      </c>
      <c r="H623" s="184" t="s">
        <v>273</v>
      </c>
      <c r="T623" s="184" t="s">
        <v>386</v>
      </c>
    </row>
    <row r="624" spans="1:20">
      <c r="A624" s="182">
        <v>44076</v>
      </c>
      <c r="B624" s="183">
        <v>0.39056712962962964</v>
      </c>
      <c r="C624" s="184" t="s">
        <v>67</v>
      </c>
      <c r="D624" s="184" t="s">
        <v>91</v>
      </c>
      <c r="E624" s="184" t="s">
        <v>85</v>
      </c>
      <c r="F624" s="182">
        <v>44091</v>
      </c>
      <c r="G624" s="186" t="s">
        <v>99</v>
      </c>
      <c r="H624" s="184" t="s">
        <v>120</v>
      </c>
    </row>
    <row r="625" spans="1:20">
      <c r="A625" s="182">
        <v>44076</v>
      </c>
      <c r="B625" s="183">
        <v>0.50421296296296292</v>
      </c>
      <c r="C625" s="184" t="s">
        <v>67</v>
      </c>
      <c r="D625" s="184" t="s">
        <v>68</v>
      </c>
      <c r="E625" s="184" t="s">
        <v>124</v>
      </c>
      <c r="F625" s="182">
        <v>44148</v>
      </c>
      <c r="G625" s="186" t="s">
        <v>94</v>
      </c>
      <c r="H625" s="184" t="s">
        <v>245</v>
      </c>
      <c r="T625" s="184" t="s">
        <v>387</v>
      </c>
    </row>
    <row r="626" spans="1:20">
      <c r="A626" s="182">
        <v>44076</v>
      </c>
      <c r="B626" s="183">
        <v>0.56972222222222224</v>
      </c>
      <c r="C626" s="184" t="s">
        <v>67</v>
      </c>
      <c r="D626" s="184" t="s">
        <v>68</v>
      </c>
      <c r="E626" s="184" t="s">
        <v>124</v>
      </c>
      <c r="F626" s="182">
        <v>44148</v>
      </c>
      <c r="G626" s="186" t="s">
        <v>99</v>
      </c>
      <c r="H626" s="184" t="s">
        <v>241</v>
      </c>
      <c r="T626" s="184" t="s">
        <v>371</v>
      </c>
    </row>
    <row r="627" spans="1:20">
      <c r="A627" s="182">
        <v>44076</v>
      </c>
      <c r="B627" s="183">
        <v>0.60229166666666667</v>
      </c>
      <c r="C627" s="184" t="s">
        <v>67</v>
      </c>
      <c r="D627" s="184" t="s">
        <v>68</v>
      </c>
      <c r="E627" s="184" t="s">
        <v>89</v>
      </c>
      <c r="F627" s="182">
        <v>44120</v>
      </c>
      <c r="G627" s="186" t="s">
        <v>94</v>
      </c>
      <c r="H627" s="184" t="s">
        <v>182</v>
      </c>
      <c r="T627" s="184" t="s">
        <v>388</v>
      </c>
    </row>
    <row r="628" spans="1:20">
      <c r="A628" s="182">
        <v>44076</v>
      </c>
      <c r="B628" s="183">
        <v>0.6039930555555556</v>
      </c>
      <c r="C628" s="184" t="s">
        <v>67</v>
      </c>
      <c r="D628" s="184" t="s">
        <v>68</v>
      </c>
      <c r="E628" s="184" t="s">
        <v>19</v>
      </c>
      <c r="F628" s="182">
        <v>44168</v>
      </c>
      <c r="G628" s="186" t="s">
        <v>94</v>
      </c>
      <c r="H628" s="184" t="s">
        <v>103</v>
      </c>
      <c r="T628" s="184" t="s">
        <v>257</v>
      </c>
    </row>
    <row r="629" spans="1:20">
      <c r="A629" s="182">
        <v>44076</v>
      </c>
      <c r="B629" s="183">
        <v>0.70179398148148142</v>
      </c>
      <c r="C629" s="184" t="s">
        <v>67</v>
      </c>
      <c r="D629" s="184" t="s">
        <v>68</v>
      </c>
      <c r="E629" s="184" t="s">
        <v>96</v>
      </c>
      <c r="F629" s="182">
        <v>44092</v>
      </c>
      <c r="G629" s="186" t="s">
        <v>99</v>
      </c>
      <c r="H629" s="184" t="s">
        <v>182</v>
      </c>
      <c r="T629" s="184" t="s">
        <v>378</v>
      </c>
    </row>
    <row r="630" spans="1:20">
      <c r="A630" s="182">
        <v>44077</v>
      </c>
      <c r="B630" s="183">
        <v>0.38524305555555555</v>
      </c>
      <c r="C630" s="184" t="s">
        <v>67</v>
      </c>
      <c r="D630" s="184" t="s">
        <v>68</v>
      </c>
      <c r="E630" s="184" t="s">
        <v>19</v>
      </c>
      <c r="F630" s="182">
        <v>44168</v>
      </c>
      <c r="G630" s="186" t="s">
        <v>94</v>
      </c>
      <c r="H630" s="184" t="s">
        <v>182</v>
      </c>
      <c r="T630" s="184" t="s">
        <v>389</v>
      </c>
    </row>
    <row r="631" spans="1:20">
      <c r="A631" s="182">
        <v>44077</v>
      </c>
      <c r="B631" s="183">
        <v>0.41359953703703706</v>
      </c>
      <c r="C631" s="184" t="s">
        <v>67</v>
      </c>
      <c r="D631" s="184" t="s">
        <v>91</v>
      </c>
      <c r="E631" s="184" t="s">
        <v>124</v>
      </c>
      <c r="F631" s="182">
        <v>44148</v>
      </c>
      <c r="G631" s="186" t="s">
        <v>105</v>
      </c>
      <c r="H631" s="184" t="s">
        <v>227</v>
      </c>
    </row>
    <row r="632" spans="1:20">
      <c r="A632" s="182">
        <v>44077</v>
      </c>
      <c r="B632" s="183">
        <v>0.46640046296296295</v>
      </c>
      <c r="C632" s="184" t="s">
        <v>67</v>
      </c>
      <c r="D632" s="184" t="s">
        <v>68</v>
      </c>
      <c r="E632" s="184" t="s">
        <v>19</v>
      </c>
      <c r="F632" s="182">
        <v>44168</v>
      </c>
      <c r="G632" s="186" t="s">
        <v>94</v>
      </c>
      <c r="H632" s="184" t="s">
        <v>117</v>
      </c>
      <c r="T632" s="184" t="s">
        <v>257</v>
      </c>
    </row>
    <row r="633" spans="1:20">
      <c r="A633" s="182">
        <v>44078</v>
      </c>
      <c r="B633" s="183">
        <v>0.47196759259259258</v>
      </c>
      <c r="C633" s="184" t="s">
        <v>67</v>
      </c>
      <c r="D633" s="184" t="s">
        <v>78</v>
      </c>
      <c r="E633" s="184" t="s">
        <v>69</v>
      </c>
      <c r="F633" s="182">
        <v>44079</v>
      </c>
      <c r="G633" s="186" t="s">
        <v>99</v>
      </c>
      <c r="H633" s="184" t="s">
        <v>82</v>
      </c>
    </row>
    <row r="634" spans="1:20">
      <c r="A634" s="182">
        <v>44078</v>
      </c>
      <c r="B634" s="183">
        <v>0.47212962962962962</v>
      </c>
      <c r="C634" s="184" t="s">
        <v>67</v>
      </c>
      <c r="D634" s="184" t="s">
        <v>78</v>
      </c>
      <c r="E634" s="184" t="s">
        <v>204</v>
      </c>
      <c r="F634" s="182">
        <v>44112</v>
      </c>
      <c r="G634" s="186" t="s">
        <v>99</v>
      </c>
      <c r="H634" s="184" t="s">
        <v>113</v>
      </c>
    </row>
    <row r="635" spans="1:20">
      <c r="A635" s="182">
        <v>44078</v>
      </c>
      <c r="B635" s="183">
        <v>0.67153935185185187</v>
      </c>
      <c r="C635" s="184" t="s">
        <v>73</v>
      </c>
      <c r="D635" s="184" t="s">
        <v>78</v>
      </c>
      <c r="E635" s="184" t="s">
        <v>96</v>
      </c>
      <c r="F635" s="182">
        <v>44092</v>
      </c>
      <c r="G635" s="186" t="s">
        <v>160</v>
      </c>
      <c r="H635" s="184" t="s">
        <v>327</v>
      </c>
    </row>
    <row r="636" spans="1:20">
      <c r="A636" s="182">
        <v>44078</v>
      </c>
      <c r="B636" s="183">
        <v>0.67211805555555548</v>
      </c>
      <c r="C636" s="184" t="s">
        <v>73</v>
      </c>
      <c r="D636" s="184" t="s">
        <v>68</v>
      </c>
      <c r="E636" s="184" t="s">
        <v>69</v>
      </c>
      <c r="F636" s="182">
        <v>44079</v>
      </c>
      <c r="G636" s="186" t="s">
        <v>99</v>
      </c>
      <c r="H636" s="184" t="s">
        <v>259</v>
      </c>
      <c r="T636" s="184" t="s">
        <v>357</v>
      </c>
    </row>
    <row r="637" spans="1:20">
      <c r="A637" s="182">
        <v>44078</v>
      </c>
      <c r="B637" s="183">
        <v>0.70677083333333324</v>
      </c>
      <c r="C637" s="184" t="s">
        <v>67</v>
      </c>
      <c r="D637" s="184" t="s">
        <v>68</v>
      </c>
      <c r="E637" s="184" t="s">
        <v>69</v>
      </c>
      <c r="F637" s="182">
        <v>44153</v>
      </c>
      <c r="G637" s="186" t="s">
        <v>94</v>
      </c>
      <c r="H637" s="184" t="s">
        <v>87</v>
      </c>
      <c r="T637" s="184" t="s">
        <v>72</v>
      </c>
    </row>
    <row r="638" spans="1:20">
      <c r="A638" s="182">
        <v>44078</v>
      </c>
      <c r="B638" s="183">
        <v>0.70966435185185184</v>
      </c>
      <c r="C638" s="184" t="s">
        <v>67</v>
      </c>
      <c r="D638" s="184" t="s">
        <v>91</v>
      </c>
      <c r="E638" s="184" t="s">
        <v>96</v>
      </c>
      <c r="F638" s="182">
        <v>44208</v>
      </c>
      <c r="G638" s="186" t="s">
        <v>115</v>
      </c>
      <c r="H638" s="184" t="s">
        <v>227</v>
      </c>
    </row>
    <row r="639" spans="1:20">
      <c r="A639" s="182">
        <v>44078</v>
      </c>
      <c r="B639" s="183">
        <v>0.7098726851851852</v>
      </c>
      <c r="C639" s="184" t="s">
        <v>67</v>
      </c>
      <c r="D639" s="184" t="s">
        <v>91</v>
      </c>
      <c r="E639" s="184" t="s">
        <v>96</v>
      </c>
      <c r="F639" s="182">
        <v>44142</v>
      </c>
      <c r="G639" s="186" t="s">
        <v>75</v>
      </c>
      <c r="H639" s="184" t="s">
        <v>92</v>
      </c>
    </row>
    <row r="640" spans="1:20">
      <c r="A640" s="182">
        <v>44082</v>
      </c>
      <c r="B640" s="183">
        <v>0.39430555555555552</v>
      </c>
      <c r="C640" s="184" t="s">
        <v>67</v>
      </c>
      <c r="D640" s="184" t="s">
        <v>68</v>
      </c>
      <c r="E640" s="184" t="s">
        <v>96</v>
      </c>
      <c r="F640" s="182">
        <v>44142</v>
      </c>
      <c r="G640" s="186" t="s">
        <v>94</v>
      </c>
      <c r="H640" s="184" t="s">
        <v>182</v>
      </c>
      <c r="T640" s="184" t="s">
        <v>390</v>
      </c>
    </row>
    <row r="641" spans="1:20">
      <c r="A641" s="182">
        <v>44082</v>
      </c>
      <c r="B641" s="183">
        <v>0.40884259259259265</v>
      </c>
      <c r="C641" s="184" t="s">
        <v>67</v>
      </c>
      <c r="D641" s="184" t="s">
        <v>68</v>
      </c>
      <c r="E641" s="184" t="s">
        <v>19</v>
      </c>
      <c r="F641" s="182">
        <v>44168</v>
      </c>
      <c r="G641" s="186" t="s">
        <v>99</v>
      </c>
      <c r="H641" s="184" t="s">
        <v>182</v>
      </c>
      <c r="T641" s="184" t="s">
        <v>391</v>
      </c>
    </row>
    <row r="642" spans="1:20">
      <c r="A642" s="182">
        <v>44083</v>
      </c>
      <c r="B642" s="183">
        <v>0.5609143518518519</v>
      </c>
      <c r="C642" s="184" t="s">
        <v>73</v>
      </c>
      <c r="D642" s="184" t="s">
        <v>68</v>
      </c>
      <c r="E642" s="184" t="s">
        <v>19</v>
      </c>
      <c r="F642" s="182">
        <v>44105</v>
      </c>
      <c r="G642" s="186" t="s">
        <v>99</v>
      </c>
      <c r="H642" s="184" t="s">
        <v>213</v>
      </c>
      <c r="T642" s="184" t="s">
        <v>363</v>
      </c>
    </row>
    <row r="643" spans="1:20">
      <c r="A643" s="182">
        <v>44083</v>
      </c>
      <c r="B643" s="183">
        <v>0.56165509259259261</v>
      </c>
      <c r="C643" s="184" t="s">
        <v>73</v>
      </c>
      <c r="D643" s="184" t="s">
        <v>68</v>
      </c>
      <c r="E643" s="184" t="s">
        <v>19</v>
      </c>
      <c r="F643" s="182">
        <v>44105</v>
      </c>
      <c r="G643" s="186" t="s">
        <v>94</v>
      </c>
      <c r="H643" s="184" t="s">
        <v>225</v>
      </c>
      <c r="T643" s="184" t="s">
        <v>161</v>
      </c>
    </row>
    <row r="644" spans="1:20">
      <c r="A644" s="182">
        <v>44083</v>
      </c>
      <c r="B644" s="183">
        <v>0.5857175925925926</v>
      </c>
      <c r="C644" s="184" t="s">
        <v>73</v>
      </c>
      <c r="D644" s="184" t="s">
        <v>68</v>
      </c>
      <c r="E644" s="184" t="s">
        <v>124</v>
      </c>
      <c r="F644" s="182">
        <v>44148</v>
      </c>
      <c r="G644" s="186" t="s">
        <v>94</v>
      </c>
      <c r="H644" s="184" t="s">
        <v>245</v>
      </c>
      <c r="T644" s="184" t="s">
        <v>161</v>
      </c>
    </row>
    <row r="645" spans="1:20">
      <c r="A645" s="182">
        <v>44084</v>
      </c>
      <c r="B645" s="183">
        <v>0.38583333333333331</v>
      </c>
      <c r="C645" s="184" t="s">
        <v>67</v>
      </c>
      <c r="D645" s="184" t="s">
        <v>68</v>
      </c>
      <c r="E645" s="184" t="s">
        <v>124</v>
      </c>
      <c r="F645" s="182">
        <v>44148</v>
      </c>
      <c r="G645" s="186" t="s">
        <v>114</v>
      </c>
      <c r="H645" s="184" t="s">
        <v>392</v>
      </c>
      <c r="T645" s="184" t="s">
        <v>354</v>
      </c>
    </row>
    <row r="646" spans="1:20">
      <c r="A646" s="182">
        <v>44084</v>
      </c>
      <c r="B646" s="183">
        <v>0.39228009259259261</v>
      </c>
      <c r="C646" s="184" t="s">
        <v>67</v>
      </c>
      <c r="D646" s="184" t="s">
        <v>68</v>
      </c>
      <c r="E646" s="184" t="s">
        <v>124</v>
      </c>
      <c r="F646" s="182">
        <v>44148</v>
      </c>
      <c r="G646" s="186" t="s">
        <v>114</v>
      </c>
      <c r="H646" s="184" t="s">
        <v>237</v>
      </c>
      <c r="T646" s="184" t="s">
        <v>147</v>
      </c>
    </row>
    <row r="647" spans="1:20">
      <c r="A647" s="182">
        <v>44084</v>
      </c>
      <c r="B647" s="183">
        <v>0.65828703703703706</v>
      </c>
      <c r="C647" s="184" t="s">
        <v>73</v>
      </c>
      <c r="D647" s="184" t="s">
        <v>68</v>
      </c>
      <c r="E647" s="184" t="s">
        <v>96</v>
      </c>
      <c r="F647" s="182">
        <v>44092</v>
      </c>
      <c r="G647" s="186" t="s">
        <v>99</v>
      </c>
      <c r="H647" s="184" t="s">
        <v>103</v>
      </c>
      <c r="T647" s="184" t="s">
        <v>153</v>
      </c>
    </row>
    <row r="648" spans="1:20">
      <c r="A648" s="182">
        <v>44084</v>
      </c>
      <c r="B648" s="183">
        <v>0.65899305555555554</v>
      </c>
      <c r="C648" s="184" t="s">
        <v>73</v>
      </c>
      <c r="D648" s="184" t="s">
        <v>68</v>
      </c>
      <c r="E648" s="184" t="s">
        <v>96</v>
      </c>
      <c r="F648" s="182">
        <v>44142</v>
      </c>
      <c r="G648" s="186" t="s">
        <v>94</v>
      </c>
      <c r="H648" s="184" t="s">
        <v>117</v>
      </c>
      <c r="T648" s="184" t="s">
        <v>153</v>
      </c>
    </row>
    <row r="649" spans="1:20">
      <c r="A649" s="182">
        <v>44085</v>
      </c>
      <c r="B649" s="183">
        <v>0.48689814814814819</v>
      </c>
      <c r="C649" s="184" t="s">
        <v>73</v>
      </c>
      <c r="D649" s="184" t="s">
        <v>68</v>
      </c>
      <c r="E649" s="184" t="s">
        <v>95</v>
      </c>
      <c r="F649" s="182">
        <v>44119</v>
      </c>
      <c r="G649" s="186" t="s">
        <v>94</v>
      </c>
      <c r="H649" s="184" t="s">
        <v>259</v>
      </c>
      <c r="T649" s="184" t="s">
        <v>365</v>
      </c>
    </row>
    <row r="650" spans="1:20">
      <c r="A650" s="182">
        <v>44085</v>
      </c>
      <c r="B650" s="183">
        <v>0.56163194444444442</v>
      </c>
      <c r="C650" s="184" t="s">
        <v>73</v>
      </c>
      <c r="D650" s="184" t="s">
        <v>68</v>
      </c>
      <c r="E650" s="184" t="s">
        <v>95</v>
      </c>
      <c r="F650" s="182">
        <v>44119</v>
      </c>
      <c r="G650" s="186" t="s">
        <v>99</v>
      </c>
      <c r="H650" s="184" t="s">
        <v>117</v>
      </c>
      <c r="T650" s="184" t="s">
        <v>365</v>
      </c>
    </row>
    <row r="651" spans="1:20">
      <c r="A651" s="182">
        <v>44085</v>
      </c>
      <c r="B651" s="183">
        <v>0.59537037037037044</v>
      </c>
      <c r="C651" s="184" t="s">
        <v>73</v>
      </c>
      <c r="D651" s="184" t="s">
        <v>68</v>
      </c>
      <c r="E651" s="184" t="s">
        <v>89</v>
      </c>
      <c r="F651" s="182">
        <v>44120</v>
      </c>
      <c r="G651" s="186" t="s">
        <v>94</v>
      </c>
      <c r="H651" s="184" t="s">
        <v>117</v>
      </c>
      <c r="T651" s="184" t="s">
        <v>393</v>
      </c>
    </row>
    <row r="652" spans="1:20">
      <c r="A652" s="182">
        <v>44088</v>
      </c>
      <c r="B652" s="183">
        <v>0.37533564814814818</v>
      </c>
      <c r="C652" s="184" t="s">
        <v>73</v>
      </c>
      <c r="D652" s="184" t="s">
        <v>68</v>
      </c>
      <c r="E652" s="184" t="s">
        <v>204</v>
      </c>
      <c r="F652" s="182">
        <v>44112</v>
      </c>
      <c r="G652" s="186" t="s">
        <v>94</v>
      </c>
      <c r="H652" s="184" t="s">
        <v>71</v>
      </c>
      <c r="T652" s="184" t="s">
        <v>394</v>
      </c>
    </row>
    <row r="653" spans="1:20">
      <c r="A653" s="182">
        <v>44088</v>
      </c>
      <c r="B653" s="183">
        <v>0.37615740740740744</v>
      </c>
      <c r="C653" s="184" t="s">
        <v>73</v>
      </c>
      <c r="D653" s="184" t="s">
        <v>68</v>
      </c>
      <c r="E653" s="184" t="s">
        <v>95</v>
      </c>
      <c r="F653" s="182">
        <v>44119</v>
      </c>
      <c r="G653" s="186" t="s">
        <v>94</v>
      </c>
      <c r="H653" s="184" t="s">
        <v>259</v>
      </c>
      <c r="T653" s="184" t="s">
        <v>394</v>
      </c>
    </row>
    <row r="654" spans="1:20">
      <c r="A654" s="182">
        <v>44088</v>
      </c>
      <c r="B654" s="183">
        <v>0.38883101851851848</v>
      </c>
      <c r="C654" s="184" t="s">
        <v>73</v>
      </c>
      <c r="D654" s="184" t="s">
        <v>68</v>
      </c>
      <c r="E654" s="184" t="s">
        <v>19</v>
      </c>
      <c r="F654" s="182">
        <v>44168</v>
      </c>
      <c r="G654" s="186" t="s">
        <v>94</v>
      </c>
      <c r="H654" s="184" t="s">
        <v>117</v>
      </c>
      <c r="T654" s="184" t="s">
        <v>395</v>
      </c>
    </row>
    <row r="655" spans="1:20">
      <c r="A655" s="182">
        <v>44088</v>
      </c>
      <c r="B655" s="183">
        <v>0.42531249999999998</v>
      </c>
      <c r="C655" s="184" t="s">
        <v>67</v>
      </c>
      <c r="D655" s="184" t="s">
        <v>68</v>
      </c>
      <c r="E655" s="184" t="s">
        <v>204</v>
      </c>
      <c r="F655" s="182">
        <v>44112</v>
      </c>
      <c r="G655" s="186" t="s">
        <v>70</v>
      </c>
      <c r="H655" s="184" t="s">
        <v>76</v>
      </c>
      <c r="T655" s="184" t="s">
        <v>396</v>
      </c>
    </row>
    <row r="656" spans="1:20">
      <c r="A656" s="182">
        <v>44088</v>
      </c>
      <c r="B656" s="183">
        <v>0.43156250000000002</v>
      </c>
      <c r="C656" s="184" t="s">
        <v>73</v>
      </c>
      <c r="D656" s="184" t="s">
        <v>68</v>
      </c>
      <c r="E656" s="184" t="s">
        <v>96</v>
      </c>
      <c r="F656" s="182">
        <v>44142</v>
      </c>
      <c r="G656" s="186" t="s">
        <v>94</v>
      </c>
      <c r="H656" s="184" t="s">
        <v>259</v>
      </c>
      <c r="T656" s="184" t="s">
        <v>397</v>
      </c>
    </row>
    <row r="657" spans="1:20">
      <c r="A657" s="182">
        <v>44088</v>
      </c>
      <c r="B657" s="183">
        <v>0.46593749999999995</v>
      </c>
      <c r="C657" s="184" t="s">
        <v>73</v>
      </c>
      <c r="D657" s="184" t="s">
        <v>68</v>
      </c>
      <c r="E657" s="184" t="s">
        <v>96</v>
      </c>
      <c r="F657" s="182">
        <v>44142</v>
      </c>
      <c r="G657" s="186" t="s">
        <v>114</v>
      </c>
      <c r="H657" s="184" t="s">
        <v>261</v>
      </c>
      <c r="T657" s="184" t="s">
        <v>398</v>
      </c>
    </row>
    <row r="658" spans="1:20">
      <c r="A658" s="182">
        <v>44088</v>
      </c>
      <c r="B658" s="183">
        <v>0.63288194444444446</v>
      </c>
      <c r="C658" s="184" t="s">
        <v>67</v>
      </c>
      <c r="D658" s="184" t="s">
        <v>91</v>
      </c>
      <c r="E658" s="184" t="s">
        <v>19</v>
      </c>
      <c r="F658" s="182">
        <v>44105</v>
      </c>
      <c r="G658" s="186" t="s">
        <v>99</v>
      </c>
      <c r="H658" s="184" t="s">
        <v>285</v>
      </c>
    </row>
    <row r="659" spans="1:20">
      <c r="A659" s="182">
        <v>44088</v>
      </c>
      <c r="B659" s="183">
        <v>0.63302083333333337</v>
      </c>
      <c r="C659" s="184" t="s">
        <v>67</v>
      </c>
      <c r="D659" s="184" t="s">
        <v>91</v>
      </c>
      <c r="E659" s="184" t="s">
        <v>19</v>
      </c>
      <c r="F659" s="182">
        <v>44105</v>
      </c>
      <c r="G659" s="186" t="s">
        <v>94</v>
      </c>
      <c r="H659" s="184" t="s">
        <v>120</v>
      </c>
    </row>
    <row r="660" spans="1:20">
      <c r="A660" s="182">
        <v>44088</v>
      </c>
      <c r="B660" s="183">
        <v>0.69694444444444448</v>
      </c>
      <c r="C660" s="184" t="s">
        <v>73</v>
      </c>
      <c r="D660" s="184" t="s">
        <v>68</v>
      </c>
      <c r="E660" s="184" t="s">
        <v>89</v>
      </c>
      <c r="F660" s="182">
        <v>44120</v>
      </c>
      <c r="G660" s="186" t="s">
        <v>83</v>
      </c>
      <c r="H660" s="184" t="s">
        <v>260</v>
      </c>
      <c r="T660" s="184" t="s">
        <v>118</v>
      </c>
    </row>
    <row r="661" spans="1:20">
      <c r="A661" s="182">
        <v>44089</v>
      </c>
      <c r="B661" s="183">
        <v>0.42276620370370371</v>
      </c>
      <c r="C661" s="184" t="s">
        <v>67</v>
      </c>
      <c r="D661" s="184" t="s">
        <v>68</v>
      </c>
      <c r="E661" s="184" t="s">
        <v>85</v>
      </c>
      <c r="F661" s="182">
        <v>44091</v>
      </c>
      <c r="G661" s="186" t="s">
        <v>94</v>
      </c>
      <c r="H661" s="184" t="s">
        <v>261</v>
      </c>
      <c r="T661" s="184" t="s">
        <v>399</v>
      </c>
    </row>
    <row r="662" spans="1:20">
      <c r="A662" s="182">
        <v>44089</v>
      </c>
      <c r="B662" s="183">
        <v>0.4253703703703704</v>
      </c>
      <c r="C662" s="184" t="s">
        <v>67</v>
      </c>
      <c r="D662" s="184" t="s">
        <v>78</v>
      </c>
      <c r="E662" s="184" t="s">
        <v>89</v>
      </c>
      <c r="F662" s="182">
        <v>44120</v>
      </c>
      <c r="G662" s="186" t="s">
        <v>94</v>
      </c>
      <c r="H662" s="184" t="s">
        <v>113</v>
      </c>
    </row>
    <row r="663" spans="1:20">
      <c r="A663" s="182">
        <v>44089</v>
      </c>
      <c r="B663" s="183">
        <v>0.46685185185185185</v>
      </c>
      <c r="C663" s="184" t="s">
        <v>67</v>
      </c>
      <c r="D663" s="184" t="s">
        <v>68</v>
      </c>
      <c r="E663" s="184" t="s">
        <v>124</v>
      </c>
      <c r="F663" s="182">
        <v>44148</v>
      </c>
      <c r="G663" s="186" t="s">
        <v>94</v>
      </c>
      <c r="H663" s="184" t="s">
        <v>243</v>
      </c>
      <c r="T663" s="184" t="s">
        <v>400</v>
      </c>
    </row>
    <row r="664" spans="1:20">
      <c r="A664" s="182">
        <v>44089</v>
      </c>
      <c r="B664" s="183">
        <v>0.53682870370370372</v>
      </c>
      <c r="C664" s="184" t="s">
        <v>67</v>
      </c>
      <c r="D664" s="184" t="s">
        <v>91</v>
      </c>
      <c r="E664" s="184" t="s">
        <v>85</v>
      </c>
      <c r="F664" s="182">
        <v>44091</v>
      </c>
      <c r="G664" s="186" t="s">
        <v>99</v>
      </c>
      <c r="H664" s="184" t="s">
        <v>285</v>
      </c>
    </row>
    <row r="665" spans="1:20">
      <c r="A665" s="182">
        <v>44089</v>
      </c>
      <c r="B665" s="183">
        <v>0.70285879629629633</v>
      </c>
      <c r="C665" s="184" t="s">
        <v>67</v>
      </c>
      <c r="D665" s="184" t="s">
        <v>78</v>
      </c>
      <c r="E665" s="184" t="s">
        <v>89</v>
      </c>
      <c r="F665" s="182">
        <v>44120</v>
      </c>
      <c r="G665" s="186" t="s">
        <v>99</v>
      </c>
      <c r="H665" s="184" t="s">
        <v>106</v>
      </c>
    </row>
    <row r="666" spans="1:20">
      <c r="A666" s="182">
        <v>44089</v>
      </c>
      <c r="B666" s="183">
        <v>0.70303240740740736</v>
      </c>
      <c r="C666" s="184" t="s">
        <v>67</v>
      </c>
      <c r="D666" s="184" t="s">
        <v>78</v>
      </c>
      <c r="E666" s="184" t="s">
        <v>45</v>
      </c>
      <c r="F666" s="182">
        <v>44162</v>
      </c>
      <c r="G666" s="186" t="s">
        <v>94</v>
      </c>
      <c r="H666" s="184" t="s">
        <v>288</v>
      </c>
    </row>
    <row r="667" spans="1:20">
      <c r="A667" s="182">
        <v>44089</v>
      </c>
      <c r="B667" s="183">
        <v>0.70324074074074072</v>
      </c>
      <c r="C667" s="184" t="s">
        <v>67</v>
      </c>
      <c r="D667" s="184" t="s">
        <v>78</v>
      </c>
      <c r="E667" s="184" t="s">
        <v>19</v>
      </c>
      <c r="F667" s="182">
        <v>44168</v>
      </c>
      <c r="G667" s="186" t="s">
        <v>94</v>
      </c>
      <c r="H667" s="184" t="s">
        <v>106</v>
      </c>
    </row>
    <row r="668" spans="1:20">
      <c r="A668" s="182">
        <v>44090</v>
      </c>
      <c r="B668" s="183">
        <v>0.43866898148148148</v>
      </c>
      <c r="C668" s="184" t="s">
        <v>67</v>
      </c>
      <c r="D668" s="184" t="s">
        <v>68</v>
      </c>
      <c r="E668" s="184" t="s">
        <v>19</v>
      </c>
      <c r="F668" s="182">
        <v>44168</v>
      </c>
      <c r="G668" s="186" t="s">
        <v>114</v>
      </c>
      <c r="H668" s="184" t="s">
        <v>273</v>
      </c>
      <c r="T668" s="184" t="s">
        <v>401</v>
      </c>
    </row>
    <row r="669" spans="1:20">
      <c r="A669" s="182">
        <v>44090</v>
      </c>
      <c r="B669" s="183">
        <v>0.44020833333333331</v>
      </c>
      <c r="C669" s="184" t="s">
        <v>67</v>
      </c>
      <c r="D669" s="184" t="s">
        <v>68</v>
      </c>
      <c r="E669" s="184" t="s">
        <v>95</v>
      </c>
      <c r="F669" s="182">
        <v>44243</v>
      </c>
      <c r="G669" s="186" t="s">
        <v>75</v>
      </c>
      <c r="H669" s="184" t="s">
        <v>76</v>
      </c>
      <c r="T669" s="184" t="s">
        <v>402</v>
      </c>
    </row>
    <row r="670" spans="1:20">
      <c r="A670" s="182">
        <v>44090</v>
      </c>
      <c r="B670" s="183">
        <v>0.46784722222222225</v>
      </c>
      <c r="C670" s="184" t="s">
        <v>67</v>
      </c>
      <c r="D670" s="184" t="s">
        <v>68</v>
      </c>
      <c r="E670" s="184" t="s">
        <v>95</v>
      </c>
      <c r="F670" s="182">
        <v>44243</v>
      </c>
      <c r="G670" s="186" t="s">
        <v>115</v>
      </c>
      <c r="H670" s="184" t="s">
        <v>222</v>
      </c>
      <c r="T670" s="184" t="s">
        <v>401</v>
      </c>
    </row>
    <row r="671" spans="1:20">
      <c r="A671" s="182">
        <v>44090</v>
      </c>
      <c r="B671" s="183">
        <v>0.46856481481481477</v>
      </c>
      <c r="C671" s="184" t="s">
        <v>67</v>
      </c>
      <c r="D671" s="184" t="s">
        <v>68</v>
      </c>
      <c r="E671" s="184" t="s">
        <v>19</v>
      </c>
      <c r="F671" s="182">
        <v>44168</v>
      </c>
      <c r="G671" s="186" t="s">
        <v>115</v>
      </c>
      <c r="H671" s="184" t="s">
        <v>117</v>
      </c>
      <c r="T671" s="184" t="s">
        <v>401</v>
      </c>
    </row>
    <row r="672" spans="1:20">
      <c r="A672" s="182">
        <v>44090</v>
      </c>
      <c r="B672" s="183">
        <v>0.70070601851851855</v>
      </c>
      <c r="C672" s="184" t="s">
        <v>67</v>
      </c>
      <c r="D672" s="184" t="s">
        <v>159</v>
      </c>
      <c r="E672" s="184" t="s">
        <v>19</v>
      </c>
      <c r="F672" s="182">
        <v>44105</v>
      </c>
      <c r="G672" s="186" t="s">
        <v>99</v>
      </c>
      <c r="H672" s="184" t="s">
        <v>216</v>
      </c>
    </row>
    <row r="673" spans="1:20">
      <c r="A673" s="182">
        <v>44091</v>
      </c>
      <c r="B673" s="183">
        <v>0.40469907407407407</v>
      </c>
      <c r="C673" s="184" t="s">
        <v>73</v>
      </c>
      <c r="D673" s="184" t="s">
        <v>78</v>
      </c>
      <c r="E673" s="184" t="s">
        <v>19</v>
      </c>
      <c r="F673" s="182">
        <v>44105</v>
      </c>
      <c r="G673" s="186" t="s">
        <v>94</v>
      </c>
      <c r="H673" s="184" t="s">
        <v>116</v>
      </c>
    </row>
    <row r="674" spans="1:20">
      <c r="A674" s="182">
        <v>44091</v>
      </c>
      <c r="B674" s="183">
        <v>0.48656250000000001</v>
      </c>
      <c r="C674" s="184" t="s">
        <v>73</v>
      </c>
      <c r="D674" s="184" t="s">
        <v>68</v>
      </c>
      <c r="E674" s="184" t="s">
        <v>95</v>
      </c>
      <c r="F674" s="182">
        <v>44119</v>
      </c>
      <c r="G674" s="186" t="s">
        <v>94</v>
      </c>
      <c r="H674" s="184" t="s">
        <v>273</v>
      </c>
      <c r="T674" s="184" t="s">
        <v>403</v>
      </c>
    </row>
    <row r="675" spans="1:20">
      <c r="A675" s="182">
        <v>44091</v>
      </c>
      <c r="B675" s="183">
        <v>0.50365740740740739</v>
      </c>
      <c r="C675" s="184" t="s">
        <v>73</v>
      </c>
      <c r="D675" s="184" t="s">
        <v>91</v>
      </c>
      <c r="E675" s="184" t="s">
        <v>96</v>
      </c>
      <c r="F675" s="182">
        <v>44208</v>
      </c>
      <c r="G675" s="186" t="s">
        <v>94</v>
      </c>
      <c r="H675" s="184" t="s">
        <v>285</v>
      </c>
    </row>
    <row r="676" spans="1:20">
      <c r="A676" s="182">
        <v>44091</v>
      </c>
      <c r="B676" s="183">
        <v>0.64021990740740742</v>
      </c>
      <c r="C676" s="184" t="s">
        <v>73</v>
      </c>
      <c r="D676" s="184" t="s">
        <v>68</v>
      </c>
      <c r="E676" s="184" t="s">
        <v>19</v>
      </c>
      <c r="F676" s="182">
        <v>44105</v>
      </c>
      <c r="G676" s="186" t="s">
        <v>99</v>
      </c>
      <c r="H676" s="184" t="s">
        <v>213</v>
      </c>
      <c r="T676" s="184" t="s">
        <v>102</v>
      </c>
    </row>
    <row r="677" spans="1:20">
      <c r="A677" s="182">
        <v>44091</v>
      </c>
      <c r="B677" s="183">
        <v>0.67822916666666666</v>
      </c>
      <c r="C677" s="184" t="s">
        <v>73</v>
      </c>
      <c r="D677" s="184" t="s">
        <v>68</v>
      </c>
      <c r="E677" s="184" t="s">
        <v>19</v>
      </c>
      <c r="F677" s="182">
        <v>44105</v>
      </c>
      <c r="G677" s="186" t="s">
        <v>94</v>
      </c>
      <c r="H677" s="184" t="s">
        <v>225</v>
      </c>
      <c r="T677" s="184" t="s">
        <v>404</v>
      </c>
    </row>
    <row r="678" spans="1:20">
      <c r="A678" s="182">
        <v>44092</v>
      </c>
      <c r="B678" s="183">
        <v>0.38665509259259262</v>
      </c>
      <c r="C678" s="184" t="s">
        <v>73</v>
      </c>
      <c r="D678" s="184" t="s">
        <v>78</v>
      </c>
      <c r="E678" s="184" t="s">
        <v>89</v>
      </c>
      <c r="F678" s="182">
        <v>44120</v>
      </c>
      <c r="G678" s="186" t="s">
        <v>94</v>
      </c>
      <c r="H678" s="184" t="s">
        <v>113</v>
      </c>
    </row>
    <row r="679" spans="1:20">
      <c r="A679" s="182">
        <v>44097</v>
      </c>
      <c r="B679" s="183">
        <v>0.43597222222222221</v>
      </c>
      <c r="C679" s="184" t="s">
        <v>67</v>
      </c>
      <c r="D679" s="184" t="s">
        <v>91</v>
      </c>
      <c r="E679" s="184" t="s">
        <v>95</v>
      </c>
      <c r="F679" s="182">
        <v>44119</v>
      </c>
      <c r="G679" s="186" t="s">
        <v>99</v>
      </c>
      <c r="H679" s="184" t="s">
        <v>218</v>
      </c>
    </row>
    <row r="680" spans="1:20">
      <c r="A680" s="182">
        <v>44097</v>
      </c>
      <c r="B680" s="183">
        <v>0.44631944444444444</v>
      </c>
      <c r="C680" s="184" t="s">
        <v>73</v>
      </c>
      <c r="D680" s="184" t="s">
        <v>68</v>
      </c>
      <c r="E680" s="184" t="s">
        <v>95</v>
      </c>
      <c r="F680" s="182">
        <v>44119</v>
      </c>
      <c r="G680" s="186" t="s">
        <v>94</v>
      </c>
      <c r="H680" s="184" t="s">
        <v>261</v>
      </c>
      <c r="T680" s="184" t="s">
        <v>405</v>
      </c>
    </row>
    <row r="681" spans="1:20">
      <c r="A681" s="182">
        <v>44097</v>
      </c>
      <c r="B681" s="183">
        <v>0.44790509259259265</v>
      </c>
      <c r="C681" s="184" t="s">
        <v>73</v>
      </c>
      <c r="D681" s="184" t="s">
        <v>91</v>
      </c>
      <c r="E681" s="184" t="s">
        <v>19</v>
      </c>
      <c r="F681" s="182">
        <v>44168</v>
      </c>
      <c r="G681" s="186" t="s">
        <v>70</v>
      </c>
      <c r="H681" s="184" t="s">
        <v>93</v>
      </c>
    </row>
    <row r="682" spans="1:20">
      <c r="A682" s="182">
        <v>44097</v>
      </c>
      <c r="B682" s="183">
        <v>0.55041666666666667</v>
      </c>
      <c r="C682" s="184" t="s">
        <v>73</v>
      </c>
      <c r="D682" s="184" t="s">
        <v>68</v>
      </c>
      <c r="E682" s="184" t="s">
        <v>89</v>
      </c>
      <c r="F682" s="182">
        <v>44120</v>
      </c>
      <c r="G682" s="186" t="s">
        <v>99</v>
      </c>
      <c r="H682" s="184" t="s">
        <v>261</v>
      </c>
      <c r="T682" s="184" t="s">
        <v>150</v>
      </c>
    </row>
    <row r="683" spans="1:20">
      <c r="A683" s="182">
        <v>44097</v>
      </c>
      <c r="B683" s="183">
        <v>0.55644675925925924</v>
      </c>
      <c r="C683" s="184" t="s">
        <v>67</v>
      </c>
      <c r="D683" s="184" t="s">
        <v>68</v>
      </c>
      <c r="E683" s="184" t="s">
        <v>96</v>
      </c>
      <c r="F683" s="182">
        <v>44142</v>
      </c>
      <c r="G683" s="186" t="s">
        <v>94</v>
      </c>
      <c r="H683" s="184" t="s">
        <v>260</v>
      </c>
      <c r="T683" s="184" t="s">
        <v>406</v>
      </c>
    </row>
    <row r="684" spans="1:20">
      <c r="A684" s="182">
        <v>44097</v>
      </c>
      <c r="B684" s="183">
        <v>0.62400462962962966</v>
      </c>
      <c r="C684" s="184" t="s">
        <v>73</v>
      </c>
      <c r="D684" s="184" t="s">
        <v>68</v>
      </c>
      <c r="E684" s="184" t="s">
        <v>96</v>
      </c>
      <c r="F684" s="182">
        <v>44142</v>
      </c>
      <c r="G684" s="186" t="s">
        <v>114</v>
      </c>
      <c r="H684" s="184" t="s">
        <v>305</v>
      </c>
      <c r="T684" s="184" t="s">
        <v>118</v>
      </c>
    </row>
    <row r="685" spans="1:20">
      <c r="A685" s="182">
        <v>44097</v>
      </c>
      <c r="B685" s="183">
        <v>0.66736111111111107</v>
      </c>
      <c r="C685" s="184" t="s">
        <v>73</v>
      </c>
      <c r="D685" s="184" t="s">
        <v>68</v>
      </c>
      <c r="E685" s="184" t="s">
        <v>95</v>
      </c>
      <c r="F685" s="182">
        <v>44119</v>
      </c>
      <c r="G685" s="186" t="s">
        <v>99</v>
      </c>
      <c r="H685" s="184" t="s">
        <v>273</v>
      </c>
      <c r="T685" s="184" t="s">
        <v>407</v>
      </c>
    </row>
    <row r="686" spans="1:20">
      <c r="A686" s="182">
        <v>44097</v>
      </c>
      <c r="B686" s="183">
        <v>0.66806712962962955</v>
      </c>
      <c r="C686" s="184" t="s">
        <v>73</v>
      </c>
      <c r="D686" s="184" t="s">
        <v>68</v>
      </c>
      <c r="E686" s="184" t="s">
        <v>204</v>
      </c>
      <c r="F686" s="182">
        <v>44112</v>
      </c>
      <c r="G686" s="186" t="s">
        <v>99</v>
      </c>
      <c r="H686" s="184" t="s">
        <v>71</v>
      </c>
      <c r="T686" s="184" t="s">
        <v>407</v>
      </c>
    </row>
    <row r="687" spans="1:20">
      <c r="A687" s="182">
        <v>44097</v>
      </c>
      <c r="B687" s="183">
        <v>0.68306712962962957</v>
      </c>
      <c r="C687" s="184" t="s">
        <v>73</v>
      </c>
      <c r="D687" s="184" t="s">
        <v>78</v>
      </c>
      <c r="E687" s="184" t="s">
        <v>45</v>
      </c>
      <c r="F687" s="182">
        <v>44240</v>
      </c>
      <c r="G687" s="186" t="s">
        <v>70</v>
      </c>
      <c r="H687" s="184" t="s">
        <v>86</v>
      </c>
    </row>
    <row r="688" spans="1:20">
      <c r="A688" s="182">
        <v>44098</v>
      </c>
      <c r="B688" s="183">
        <v>0.49388888888888888</v>
      </c>
      <c r="C688" s="184" t="s">
        <v>73</v>
      </c>
      <c r="D688" s="184" t="s">
        <v>91</v>
      </c>
      <c r="E688" s="184" t="s">
        <v>96</v>
      </c>
      <c r="F688" s="182">
        <v>44142</v>
      </c>
      <c r="G688" s="186" t="s">
        <v>114</v>
      </c>
      <c r="H688" s="184" t="s">
        <v>285</v>
      </c>
    </row>
    <row r="689" spans="1:20">
      <c r="A689" s="182">
        <v>44099</v>
      </c>
      <c r="B689" s="183">
        <v>0.4026851851851852</v>
      </c>
      <c r="C689" s="184" t="s">
        <v>73</v>
      </c>
      <c r="D689" s="184" t="s">
        <v>68</v>
      </c>
      <c r="E689" s="184" t="s">
        <v>96</v>
      </c>
      <c r="F689" s="182">
        <v>44142</v>
      </c>
      <c r="G689" s="186" t="s">
        <v>94</v>
      </c>
      <c r="H689" s="184" t="s">
        <v>322</v>
      </c>
      <c r="T689" s="184" t="s">
        <v>102</v>
      </c>
    </row>
    <row r="690" spans="1:20">
      <c r="A690" s="182">
        <v>44099</v>
      </c>
      <c r="B690" s="183">
        <v>0.40506944444444443</v>
      </c>
      <c r="C690" s="184" t="s">
        <v>73</v>
      </c>
      <c r="D690" s="184" t="s">
        <v>91</v>
      </c>
      <c r="E690" s="184" t="s">
        <v>45</v>
      </c>
      <c r="F690" s="182">
        <v>44162</v>
      </c>
      <c r="G690" s="186" t="s">
        <v>94</v>
      </c>
      <c r="H690" s="184" t="s">
        <v>92</v>
      </c>
    </row>
    <row r="691" spans="1:20">
      <c r="A691" s="182">
        <v>44099</v>
      </c>
      <c r="B691" s="183">
        <v>0.60818287037037033</v>
      </c>
      <c r="C691" s="184" t="s">
        <v>73</v>
      </c>
      <c r="D691" s="184" t="s">
        <v>78</v>
      </c>
      <c r="E691" s="184" t="s">
        <v>89</v>
      </c>
      <c r="F691" s="182">
        <v>44120</v>
      </c>
      <c r="G691" s="186" t="s">
        <v>99</v>
      </c>
      <c r="H691" s="184" t="s">
        <v>106</v>
      </c>
    </row>
    <row r="692" spans="1:20">
      <c r="A692" s="182">
        <v>44099</v>
      </c>
      <c r="B692" s="183">
        <v>0.60844907407407411</v>
      </c>
      <c r="C692" s="184" t="s">
        <v>73</v>
      </c>
      <c r="D692" s="184" t="s">
        <v>78</v>
      </c>
      <c r="E692" s="184" t="s">
        <v>45</v>
      </c>
      <c r="F692" s="182">
        <v>44240</v>
      </c>
      <c r="G692" s="186" t="s">
        <v>112</v>
      </c>
      <c r="H692" s="184" t="s">
        <v>113</v>
      </c>
    </row>
    <row r="693" spans="1:20">
      <c r="A693" s="182">
        <v>44099</v>
      </c>
      <c r="B693" s="183">
        <v>0.60952546296296295</v>
      </c>
      <c r="C693" s="184" t="s">
        <v>73</v>
      </c>
      <c r="D693" s="184" t="s">
        <v>91</v>
      </c>
      <c r="E693" s="184" t="s">
        <v>19</v>
      </c>
      <c r="F693" s="182">
        <v>44168</v>
      </c>
      <c r="G693" s="186" t="s">
        <v>70</v>
      </c>
      <c r="H693" s="184" t="s">
        <v>92</v>
      </c>
    </row>
    <row r="694" spans="1:20">
      <c r="A694" s="182">
        <v>44099</v>
      </c>
      <c r="B694" s="183">
        <v>0.6244791666666667</v>
      </c>
      <c r="C694" s="184" t="s">
        <v>73</v>
      </c>
      <c r="D694" s="184" t="s">
        <v>68</v>
      </c>
      <c r="E694" s="184" t="s">
        <v>96</v>
      </c>
      <c r="F694" s="182">
        <v>44142</v>
      </c>
      <c r="G694" s="186" t="s">
        <v>94</v>
      </c>
      <c r="H694" s="184" t="s">
        <v>185</v>
      </c>
      <c r="T694" s="184" t="s">
        <v>289</v>
      </c>
    </row>
    <row r="695" spans="1:20">
      <c r="A695" s="182">
        <v>44099</v>
      </c>
      <c r="B695" s="183">
        <v>0.62579861111111112</v>
      </c>
      <c r="C695" s="184" t="s">
        <v>73</v>
      </c>
      <c r="D695" s="184" t="s">
        <v>68</v>
      </c>
      <c r="E695" s="184" t="s">
        <v>45</v>
      </c>
      <c r="F695" s="182">
        <v>44162</v>
      </c>
      <c r="G695" s="186" t="s">
        <v>114</v>
      </c>
      <c r="H695" s="184" t="s">
        <v>322</v>
      </c>
      <c r="T695" s="184" t="s">
        <v>289</v>
      </c>
    </row>
    <row r="696" spans="1:20">
      <c r="A696" s="182">
        <v>44102</v>
      </c>
      <c r="B696" s="183">
        <v>0.55170138888888887</v>
      </c>
      <c r="C696" s="184" t="s">
        <v>73</v>
      </c>
      <c r="D696" s="184" t="s">
        <v>68</v>
      </c>
      <c r="E696" s="184" t="s">
        <v>96</v>
      </c>
      <c r="F696" s="182">
        <v>44142</v>
      </c>
      <c r="G696" s="186" t="s">
        <v>114</v>
      </c>
      <c r="H696" s="184" t="s">
        <v>190</v>
      </c>
      <c r="T696" s="184" t="s">
        <v>408</v>
      </c>
    </row>
    <row r="697" spans="1:20">
      <c r="A697" s="182">
        <v>44102</v>
      </c>
      <c r="B697" s="183">
        <v>0.67454861111111108</v>
      </c>
      <c r="C697" s="184" t="s">
        <v>67</v>
      </c>
      <c r="D697" s="184" t="s">
        <v>68</v>
      </c>
      <c r="E697" s="184" t="s">
        <v>96</v>
      </c>
      <c r="F697" s="182">
        <v>44142</v>
      </c>
      <c r="G697" s="186" t="s">
        <v>94</v>
      </c>
      <c r="H697" s="184" t="s">
        <v>206</v>
      </c>
      <c r="T697" s="184" t="s">
        <v>409</v>
      </c>
    </row>
    <row r="698" spans="1:20">
      <c r="A698" s="182">
        <v>44103</v>
      </c>
      <c r="B698" s="183">
        <v>0.37965277777777778</v>
      </c>
      <c r="C698" s="184" t="s">
        <v>67</v>
      </c>
      <c r="D698" s="184" t="s">
        <v>68</v>
      </c>
      <c r="E698" s="184" t="s">
        <v>89</v>
      </c>
      <c r="F698" s="182">
        <v>44120</v>
      </c>
      <c r="G698" s="186" t="s">
        <v>94</v>
      </c>
      <c r="H698" s="184" t="s">
        <v>260</v>
      </c>
      <c r="T698" s="184" t="s">
        <v>410</v>
      </c>
    </row>
    <row r="699" spans="1:20">
      <c r="A699" s="182">
        <v>44103</v>
      </c>
      <c r="B699" s="183">
        <v>0.50282407407407403</v>
      </c>
      <c r="C699" s="184" t="s">
        <v>67</v>
      </c>
      <c r="D699" s="184" t="s">
        <v>68</v>
      </c>
      <c r="E699" s="184" t="s">
        <v>96</v>
      </c>
      <c r="F699" s="182">
        <v>44142</v>
      </c>
      <c r="G699" s="186" t="s">
        <v>99</v>
      </c>
      <c r="H699" s="184" t="s">
        <v>190</v>
      </c>
      <c r="T699" s="184" t="s">
        <v>411</v>
      </c>
    </row>
    <row r="700" spans="1:20">
      <c r="A700" s="182">
        <v>44103</v>
      </c>
      <c r="B700" s="183">
        <v>0.50322916666666673</v>
      </c>
      <c r="C700" s="184" t="s">
        <v>67</v>
      </c>
      <c r="D700" s="184" t="s">
        <v>91</v>
      </c>
      <c r="E700" s="184" t="s">
        <v>96</v>
      </c>
      <c r="F700" s="182">
        <v>44142</v>
      </c>
      <c r="G700" s="186" t="s">
        <v>94</v>
      </c>
      <c r="H700" s="184" t="s">
        <v>120</v>
      </c>
    </row>
    <row r="701" spans="1:20">
      <c r="A701" s="182">
        <v>44103</v>
      </c>
      <c r="B701" s="183">
        <v>0.57332175925925932</v>
      </c>
      <c r="C701" s="184" t="s">
        <v>67</v>
      </c>
      <c r="D701" s="184" t="s">
        <v>68</v>
      </c>
      <c r="E701" s="184" t="s">
        <v>124</v>
      </c>
      <c r="F701" s="182">
        <v>44148</v>
      </c>
      <c r="G701" s="186" t="s">
        <v>99</v>
      </c>
      <c r="H701" s="184" t="s">
        <v>237</v>
      </c>
      <c r="T701" s="184" t="s">
        <v>161</v>
      </c>
    </row>
    <row r="702" spans="1:20">
      <c r="A702" s="182">
        <v>44104</v>
      </c>
      <c r="B702" s="183">
        <v>0.42363425925925924</v>
      </c>
      <c r="C702" s="184" t="s">
        <v>67</v>
      </c>
      <c r="D702" s="184" t="s">
        <v>91</v>
      </c>
      <c r="E702" s="184" t="s">
        <v>96</v>
      </c>
      <c r="F702" s="182">
        <v>44208</v>
      </c>
      <c r="G702" s="186" t="s">
        <v>94</v>
      </c>
      <c r="H702" s="184" t="s">
        <v>120</v>
      </c>
    </row>
    <row r="703" spans="1:20">
      <c r="A703" s="182">
        <v>44104</v>
      </c>
      <c r="B703" s="183">
        <v>0.55155092592592592</v>
      </c>
      <c r="C703" s="184" t="s">
        <v>73</v>
      </c>
      <c r="D703" s="184" t="s">
        <v>68</v>
      </c>
      <c r="E703" s="184" t="s">
        <v>45</v>
      </c>
      <c r="F703" s="182">
        <v>44162</v>
      </c>
      <c r="G703" s="186" t="s">
        <v>94</v>
      </c>
      <c r="H703" s="184" t="s">
        <v>185</v>
      </c>
      <c r="T703" s="184" t="s">
        <v>412</v>
      </c>
    </row>
    <row r="704" spans="1:20">
      <c r="A704" s="182">
        <v>44105</v>
      </c>
      <c r="B704" s="183">
        <v>0.41487268518518516</v>
      </c>
      <c r="C704" s="184" t="s">
        <v>67</v>
      </c>
      <c r="D704" s="184" t="s">
        <v>68</v>
      </c>
      <c r="E704" s="184" t="s">
        <v>95</v>
      </c>
      <c r="F704" s="182">
        <v>44119</v>
      </c>
      <c r="G704" s="186" t="s">
        <v>94</v>
      </c>
      <c r="H704" s="184" t="s">
        <v>261</v>
      </c>
      <c r="T704" s="184" t="s">
        <v>413</v>
      </c>
    </row>
    <row r="705" spans="1:20">
      <c r="A705" s="182">
        <v>44105</v>
      </c>
      <c r="B705" s="183">
        <v>0.59990740740740744</v>
      </c>
      <c r="C705" s="184" t="s">
        <v>67</v>
      </c>
      <c r="D705" s="184" t="s">
        <v>78</v>
      </c>
      <c r="E705" s="184" t="s">
        <v>69</v>
      </c>
      <c r="F705" s="182">
        <v>44153</v>
      </c>
      <c r="G705" s="186" t="s">
        <v>75</v>
      </c>
      <c r="H705" s="184" t="s">
        <v>107</v>
      </c>
    </row>
    <row r="706" spans="1:20">
      <c r="A706" s="182">
        <v>44106</v>
      </c>
      <c r="B706" s="183">
        <v>0.54379629629629633</v>
      </c>
      <c r="C706" s="184" t="s">
        <v>73</v>
      </c>
      <c r="D706" s="184" t="s">
        <v>159</v>
      </c>
      <c r="E706" s="184" t="s">
        <v>96</v>
      </c>
      <c r="F706" s="182">
        <v>44142</v>
      </c>
      <c r="G706" s="186" t="s">
        <v>94</v>
      </c>
      <c r="H706" s="184" t="s">
        <v>215</v>
      </c>
    </row>
    <row r="707" spans="1:20">
      <c r="A707" s="182">
        <v>44106</v>
      </c>
      <c r="B707" s="183">
        <v>0.54493055555555558</v>
      </c>
      <c r="C707" s="184" t="s">
        <v>73</v>
      </c>
      <c r="D707" s="184" t="s">
        <v>68</v>
      </c>
      <c r="E707" s="184" t="s">
        <v>96</v>
      </c>
      <c r="F707" s="182">
        <v>44142</v>
      </c>
      <c r="G707" s="186" t="s">
        <v>94</v>
      </c>
      <c r="H707" s="184" t="s">
        <v>206</v>
      </c>
      <c r="T707" s="184" t="s">
        <v>414</v>
      </c>
    </row>
    <row r="708" spans="1:20">
      <c r="A708" s="182">
        <v>44106</v>
      </c>
      <c r="B708" s="183">
        <v>0.65739583333333329</v>
      </c>
      <c r="C708" s="184" t="s">
        <v>73</v>
      </c>
      <c r="D708" s="184" t="s">
        <v>68</v>
      </c>
      <c r="E708" s="184" t="s">
        <v>96</v>
      </c>
      <c r="F708" s="182">
        <v>44142</v>
      </c>
      <c r="G708" s="186" t="s">
        <v>94</v>
      </c>
      <c r="H708" s="184" t="s">
        <v>209</v>
      </c>
      <c r="T708" s="184" t="s">
        <v>415</v>
      </c>
    </row>
    <row r="709" spans="1:20">
      <c r="A709" s="182">
        <v>44109</v>
      </c>
      <c r="B709" s="183">
        <v>0.43395833333333328</v>
      </c>
      <c r="C709" s="184" t="s">
        <v>67</v>
      </c>
      <c r="D709" s="184" t="s">
        <v>78</v>
      </c>
      <c r="E709" s="184" t="s">
        <v>19</v>
      </c>
      <c r="F709" s="182">
        <v>44168</v>
      </c>
      <c r="G709" s="186" t="s">
        <v>94</v>
      </c>
      <c r="H709" s="184" t="s">
        <v>113</v>
      </c>
    </row>
    <row r="710" spans="1:20">
      <c r="A710" s="182">
        <v>44109</v>
      </c>
      <c r="B710" s="183">
        <v>0.56726851851851856</v>
      </c>
      <c r="C710" s="184" t="s">
        <v>67</v>
      </c>
      <c r="D710" s="184" t="s">
        <v>68</v>
      </c>
      <c r="E710" s="184" t="s">
        <v>19</v>
      </c>
      <c r="F710" s="182">
        <v>44168</v>
      </c>
      <c r="G710" s="186" t="s">
        <v>75</v>
      </c>
      <c r="H710" s="184" t="s">
        <v>273</v>
      </c>
      <c r="T710" s="184" t="s">
        <v>416</v>
      </c>
    </row>
    <row r="711" spans="1:20">
      <c r="A711" s="182">
        <v>44109</v>
      </c>
      <c r="B711" s="183">
        <v>0.56927083333333328</v>
      </c>
      <c r="C711" s="184" t="s">
        <v>67</v>
      </c>
      <c r="D711" s="184" t="s">
        <v>68</v>
      </c>
      <c r="E711" s="184" t="s">
        <v>96</v>
      </c>
      <c r="F711" s="182">
        <v>44142</v>
      </c>
      <c r="G711" s="186" t="s">
        <v>99</v>
      </c>
      <c r="H711" s="184" t="s">
        <v>206</v>
      </c>
      <c r="T711" s="184" t="s">
        <v>409</v>
      </c>
    </row>
    <row r="712" spans="1:20">
      <c r="A712" s="182">
        <v>44109</v>
      </c>
      <c r="B712" s="183">
        <v>0.60359953703703706</v>
      </c>
      <c r="C712" s="184" t="s">
        <v>73</v>
      </c>
      <c r="D712" s="184" t="s">
        <v>68</v>
      </c>
      <c r="E712" s="184" t="s">
        <v>19</v>
      </c>
      <c r="F712" s="182">
        <v>44168</v>
      </c>
      <c r="G712" s="186" t="s">
        <v>94</v>
      </c>
      <c r="H712" s="184" t="s">
        <v>261</v>
      </c>
      <c r="T712" s="184" t="s">
        <v>417</v>
      </c>
    </row>
    <row r="713" spans="1:20">
      <c r="A713" s="182">
        <v>44110</v>
      </c>
      <c r="B713" s="183">
        <v>0.45895833333333336</v>
      </c>
      <c r="C713" s="184" t="s">
        <v>67</v>
      </c>
      <c r="D713" s="184" t="s">
        <v>68</v>
      </c>
      <c r="E713" s="184" t="s">
        <v>69</v>
      </c>
      <c r="F713" s="182">
        <v>44153</v>
      </c>
      <c r="G713" s="186" t="s">
        <v>94</v>
      </c>
      <c r="H713" s="184" t="s">
        <v>101</v>
      </c>
      <c r="T713" s="184" t="s">
        <v>418</v>
      </c>
    </row>
    <row r="714" spans="1:20">
      <c r="A714" s="182">
        <v>44111</v>
      </c>
      <c r="B714" s="183">
        <v>0.38101851851851848</v>
      </c>
      <c r="C714" s="184" t="s">
        <v>67</v>
      </c>
      <c r="D714" s="184" t="s">
        <v>91</v>
      </c>
      <c r="E714" s="184" t="s">
        <v>96</v>
      </c>
      <c r="F714" s="182">
        <v>44142</v>
      </c>
      <c r="G714" s="186" t="s">
        <v>114</v>
      </c>
      <c r="H714" s="184" t="s">
        <v>189</v>
      </c>
    </row>
    <row r="715" spans="1:20">
      <c r="A715" s="182">
        <v>44111</v>
      </c>
      <c r="B715" s="183">
        <v>0.44033564814814818</v>
      </c>
      <c r="C715" s="184" t="s">
        <v>67</v>
      </c>
      <c r="D715" s="184" t="s">
        <v>68</v>
      </c>
      <c r="E715" s="184" t="s">
        <v>96</v>
      </c>
      <c r="F715" s="182">
        <v>44142</v>
      </c>
      <c r="G715" s="186" t="s">
        <v>94</v>
      </c>
      <c r="H715" s="184" t="s">
        <v>209</v>
      </c>
      <c r="T715" s="184" t="s">
        <v>419</v>
      </c>
    </row>
    <row r="716" spans="1:20">
      <c r="A716" s="182">
        <v>44111</v>
      </c>
      <c r="B716" s="183">
        <v>0.48181712962962964</v>
      </c>
      <c r="C716" s="184" t="s">
        <v>67</v>
      </c>
      <c r="D716" s="184" t="s">
        <v>91</v>
      </c>
      <c r="E716" s="184" t="s">
        <v>124</v>
      </c>
      <c r="F716" s="182">
        <v>44148</v>
      </c>
      <c r="G716" s="186" t="s">
        <v>94</v>
      </c>
      <c r="H716" s="184" t="s">
        <v>285</v>
      </c>
    </row>
    <row r="717" spans="1:20">
      <c r="A717" s="182">
        <v>44111</v>
      </c>
      <c r="B717" s="183">
        <v>0.62300925925925921</v>
      </c>
      <c r="C717" s="184" t="s">
        <v>67</v>
      </c>
      <c r="D717" s="184" t="s">
        <v>68</v>
      </c>
      <c r="E717" s="184" t="s">
        <v>19</v>
      </c>
      <c r="F717" s="182">
        <v>44168</v>
      </c>
      <c r="G717" s="186" t="s">
        <v>94</v>
      </c>
      <c r="H717" s="184" t="s">
        <v>260</v>
      </c>
      <c r="T717" s="184" t="s">
        <v>420</v>
      </c>
    </row>
    <row r="718" spans="1:20">
      <c r="A718" s="182">
        <v>44112</v>
      </c>
      <c r="B718" s="183">
        <v>0.37340277777777775</v>
      </c>
      <c r="C718" s="184" t="s">
        <v>67</v>
      </c>
      <c r="D718" s="184" t="s">
        <v>78</v>
      </c>
      <c r="E718" s="184" t="s">
        <v>19</v>
      </c>
      <c r="F718" s="182">
        <v>44168</v>
      </c>
      <c r="G718" s="186" t="s">
        <v>94</v>
      </c>
      <c r="H718" s="184" t="s">
        <v>265</v>
      </c>
    </row>
    <row r="719" spans="1:20">
      <c r="A719" s="182">
        <v>44112</v>
      </c>
      <c r="B719" s="183">
        <v>0.62365740740740738</v>
      </c>
      <c r="C719" s="184" t="s">
        <v>73</v>
      </c>
      <c r="D719" s="184" t="s">
        <v>78</v>
      </c>
      <c r="E719" s="184" t="s">
        <v>45</v>
      </c>
      <c r="F719" s="182">
        <v>44162</v>
      </c>
      <c r="G719" s="186" t="s">
        <v>94</v>
      </c>
      <c r="H719" s="184" t="s">
        <v>267</v>
      </c>
    </row>
    <row r="720" spans="1:20">
      <c r="A720" s="182">
        <v>44116</v>
      </c>
      <c r="B720" s="183">
        <v>0.38847222222222227</v>
      </c>
      <c r="C720" s="184" t="s">
        <v>67</v>
      </c>
      <c r="D720" s="184" t="s">
        <v>68</v>
      </c>
      <c r="E720" s="184" t="s">
        <v>69</v>
      </c>
      <c r="F720" s="182">
        <v>44153</v>
      </c>
      <c r="G720" s="186" t="s">
        <v>94</v>
      </c>
      <c r="H720" s="184" t="s">
        <v>103</v>
      </c>
      <c r="T720" s="184" t="s">
        <v>421</v>
      </c>
    </row>
    <row r="721" spans="1:20">
      <c r="A721" s="182">
        <v>44116</v>
      </c>
      <c r="B721" s="183">
        <v>0.64931712962962962</v>
      </c>
      <c r="C721" s="184" t="s">
        <v>73</v>
      </c>
      <c r="D721" s="184" t="s">
        <v>78</v>
      </c>
      <c r="E721" s="184" t="s">
        <v>96</v>
      </c>
      <c r="F721" s="182">
        <v>44142</v>
      </c>
      <c r="G721" s="186" t="s">
        <v>99</v>
      </c>
      <c r="H721" s="184" t="s">
        <v>288</v>
      </c>
    </row>
    <row r="722" spans="1:20">
      <c r="A722" s="182">
        <v>44116</v>
      </c>
      <c r="B722" s="183">
        <v>0.64957175925925925</v>
      </c>
      <c r="C722" s="184" t="s">
        <v>73</v>
      </c>
      <c r="D722" s="184" t="s">
        <v>78</v>
      </c>
      <c r="E722" s="184" t="s">
        <v>19</v>
      </c>
      <c r="F722" s="182">
        <v>44168</v>
      </c>
      <c r="G722" s="186" t="s">
        <v>94</v>
      </c>
      <c r="H722" s="184" t="s">
        <v>288</v>
      </c>
    </row>
    <row r="723" spans="1:20">
      <c r="A723" s="182">
        <v>44117</v>
      </c>
      <c r="B723" s="183">
        <v>0.42526620370370366</v>
      </c>
      <c r="C723" s="184" t="s">
        <v>67</v>
      </c>
      <c r="D723" s="184" t="s">
        <v>78</v>
      </c>
      <c r="E723" s="184" t="s">
        <v>45</v>
      </c>
      <c r="F723" s="182">
        <v>44162</v>
      </c>
      <c r="G723" s="186" t="s">
        <v>94</v>
      </c>
      <c r="H723" s="184" t="s">
        <v>327</v>
      </c>
    </row>
    <row r="724" spans="1:20">
      <c r="A724" s="182">
        <v>44117</v>
      </c>
      <c r="B724" s="183">
        <v>0.42556712962962967</v>
      </c>
      <c r="C724" s="184" t="s">
        <v>67</v>
      </c>
      <c r="D724" s="184" t="s">
        <v>78</v>
      </c>
      <c r="E724" s="184" t="s">
        <v>19</v>
      </c>
      <c r="F724" s="182">
        <v>44168</v>
      </c>
      <c r="G724" s="186" t="s">
        <v>94</v>
      </c>
      <c r="H724" s="184" t="s">
        <v>267</v>
      </c>
    </row>
    <row r="725" spans="1:20">
      <c r="A725" s="182">
        <v>44117</v>
      </c>
      <c r="B725" s="183">
        <v>0.44287037037037041</v>
      </c>
      <c r="C725" s="184" t="s">
        <v>67</v>
      </c>
      <c r="D725" s="184" t="s">
        <v>68</v>
      </c>
      <c r="E725" s="184" t="s">
        <v>45</v>
      </c>
      <c r="F725" s="182">
        <v>44162</v>
      </c>
      <c r="G725" s="186" t="s">
        <v>94</v>
      </c>
      <c r="H725" s="184" t="s">
        <v>308</v>
      </c>
      <c r="T725" s="184" t="s">
        <v>422</v>
      </c>
    </row>
    <row r="726" spans="1:20">
      <c r="A726" s="182">
        <v>44117</v>
      </c>
      <c r="B726" s="183">
        <v>0.48732638888888885</v>
      </c>
      <c r="C726" s="184" t="s">
        <v>67</v>
      </c>
      <c r="D726" s="184" t="s">
        <v>68</v>
      </c>
      <c r="E726" s="184" t="s">
        <v>69</v>
      </c>
      <c r="F726" s="182">
        <v>44153</v>
      </c>
      <c r="G726" s="186" t="s">
        <v>94</v>
      </c>
      <c r="H726" s="184" t="s">
        <v>182</v>
      </c>
      <c r="T726" s="184" t="s">
        <v>161</v>
      </c>
    </row>
    <row r="727" spans="1:20">
      <c r="A727" s="182">
        <v>44117</v>
      </c>
      <c r="B727" s="183">
        <v>0.5289814814814815</v>
      </c>
      <c r="C727" s="184" t="s">
        <v>67</v>
      </c>
      <c r="D727" s="184" t="s">
        <v>68</v>
      </c>
      <c r="E727" s="184" t="s">
        <v>96</v>
      </c>
      <c r="F727" s="182">
        <v>44142</v>
      </c>
      <c r="G727" s="186" t="s">
        <v>94</v>
      </c>
      <c r="H727" s="184" t="s">
        <v>272</v>
      </c>
      <c r="T727" s="184" t="s">
        <v>423</v>
      </c>
    </row>
    <row r="728" spans="1:20">
      <c r="A728" s="182">
        <v>44117</v>
      </c>
      <c r="B728" s="183">
        <v>0.62109953703703702</v>
      </c>
      <c r="C728" s="184" t="s">
        <v>67</v>
      </c>
      <c r="D728" s="184" t="s">
        <v>68</v>
      </c>
      <c r="E728" s="184" t="s">
        <v>89</v>
      </c>
      <c r="F728" s="182">
        <v>44120</v>
      </c>
      <c r="G728" s="186" t="s">
        <v>94</v>
      </c>
      <c r="H728" s="184" t="s">
        <v>256</v>
      </c>
      <c r="T728" s="184" t="s">
        <v>424</v>
      </c>
    </row>
    <row r="729" spans="1:20">
      <c r="A729" s="182">
        <v>44117</v>
      </c>
      <c r="B729" s="183">
        <v>0.70186342592592599</v>
      </c>
      <c r="C729" s="184" t="s">
        <v>67</v>
      </c>
      <c r="D729" s="184" t="s">
        <v>68</v>
      </c>
      <c r="E729" s="184" t="s">
        <v>124</v>
      </c>
      <c r="F729" s="182">
        <v>44148</v>
      </c>
      <c r="G729" s="186" t="s">
        <v>83</v>
      </c>
      <c r="H729" s="184" t="s">
        <v>425</v>
      </c>
      <c r="T729" s="184" t="s">
        <v>426</v>
      </c>
    </row>
    <row r="730" spans="1:20">
      <c r="A730" s="182">
        <v>44118</v>
      </c>
      <c r="B730" s="183">
        <v>0.61774305555555553</v>
      </c>
      <c r="C730" s="184" t="s">
        <v>67</v>
      </c>
      <c r="D730" s="184" t="s">
        <v>78</v>
      </c>
      <c r="E730" s="184" t="s">
        <v>96</v>
      </c>
      <c r="F730" s="182">
        <v>44142</v>
      </c>
      <c r="G730" s="186" t="s">
        <v>94</v>
      </c>
      <c r="H730" s="184" t="s">
        <v>267</v>
      </c>
    </row>
    <row r="731" spans="1:20">
      <c r="A731" s="182">
        <v>44119</v>
      </c>
      <c r="B731" s="183">
        <v>0.55267361111111113</v>
      </c>
      <c r="C731" s="184" t="s">
        <v>73</v>
      </c>
      <c r="D731" s="184" t="s">
        <v>68</v>
      </c>
      <c r="E731" s="184" t="s">
        <v>124</v>
      </c>
      <c r="F731" s="182">
        <v>44148</v>
      </c>
      <c r="G731" s="186" t="s">
        <v>94</v>
      </c>
      <c r="H731" s="184" t="s">
        <v>201</v>
      </c>
      <c r="T731" s="184" t="s">
        <v>427</v>
      </c>
    </row>
    <row r="732" spans="1:20">
      <c r="A732" s="182">
        <v>44120</v>
      </c>
      <c r="B732" s="183">
        <v>0.40384259259259259</v>
      </c>
      <c r="C732" s="184" t="s">
        <v>73</v>
      </c>
      <c r="D732" s="184" t="s">
        <v>78</v>
      </c>
      <c r="E732" s="184" t="s">
        <v>124</v>
      </c>
      <c r="F732" s="182">
        <v>44148</v>
      </c>
      <c r="G732" s="186" t="s">
        <v>99</v>
      </c>
      <c r="H732" s="184" t="s">
        <v>267</v>
      </c>
    </row>
    <row r="733" spans="1:20">
      <c r="A733" s="182">
        <v>44120</v>
      </c>
      <c r="B733" s="183">
        <v>0.41218749999999998</v>
      </c>
      <c r="C733" s="184" t="s">
        <v>73</v>
      </c>
      <c r="D733" s="184" t="s">
        <v>78</v>
      </c>
      <c r="E733" s="184" t="s">
        <v>124</v>
      </c>
      <c r="F733" s="182">
        <v>44148</v>
      </c>
      <c r="G733" s="186" t="s">
        <v>94</v>
      </c>
      <c r="H733" s="184" t="s">
        <v>327</v>
      </c>
    </row>
    <row r="734" spans="1:20">
      <c r="A734" s="182">
        <v>44120</v>
      </c>
      <c r="B734" s="183">
        <v>0.48802083333333335</v>
      </c>
      <c r="C734" s="184" t="s">
        <v>73</v>
      </c>
      <c r="D734" s="184" t="s">
        <v>91</v>
      </c>
      <c r="E734" s="184" t="s">
        <v>45</v>
      </c>
      <c r="F734" s="182">
        <v>44162</v>
      </c>
      <c r="G734" s="186" t="s">
        <v>114</v>
      </c>
      <c r="H734" s="184" t="s">
        <v>285</v>
      </c>
    </row>
    <row r="735" spans="1:20">
      <c r="A735" s="182">
        <v>44120</v>
      </c>
      <c r="B735" s="183">
        <v>0.4884722222222222</v>
      </c>
      <c r="C735" s="184" t="s">
        <v>73</v>
      </c>
      <c r="D735" s="184" t="s">
        <v>91</v>
      </c>
      <c r="E735" s="184" t="s">
        <v>19</v>
      </c>
      <c r="F735" s="182">
        <v>44168</v>
      </c>
      <c r="G735" s="186" t="s">
        <v>114</v>
      </c>
      <c r="H735" s="184" t="s">
        <v>285</v>
      </c>
    </row>
    <row r="736" spans="1:20">
      <c r="A736" s="182">
        <v>44120</v>
      </c>
      <c r="B736" s="183">
        <v>0.68237268518518512</v>
      </c>
      <c r="C736" s="184" t="s">
        <v>73</v>
      </c>
      <c r="D736" s="184" t="s">
        <v>68</v>
      </c>
      <c r="E736" s="184" t="s">
        <v>45</v>
      </c>
      <c r="F736" s="182">
        <v>44162</v>
      </c>
      <c r="G736" s="186" t="s">
        <v>94</v>
      </c>
      <c r="H736" s="184" t="s">
        <v>190</v>
      </c>
      <c r="T736" s="184" t="s">
        <v>428</v>
      </c>
    </row>
    <row r="737" spans="1:20">
      <c r="A737" s="182">
        <v>44123</v>
      </c>
      <c r="B737" s="183">
        <v>0.40771990740740738</v>
      </c>
      <c r="C737" s="184" t="s">
        <v>73</v>
      </c>
      <c r="D737" s="184" t="s">
        <v>68</v>
      </c>
      <c r="E737" s="184" t="s">
        <v>124</v>
      </c>
      <c r="F737" s="182">
        <v>44148</v>
      </c>
      <c r="G737" s="186" t="s">
        <v>99</v>
      </c>
      <c r="H737" s="184" t="s">
        <v>425</v>
      </c>
      <c r="T737" s="184" t="s">
        <v>371</v>
      </c>
    </row>
    <row r="738" spans="1:20">
      <c r="A738" s="182">
        <v>44124</v>
      </c>
      <c r="B738" s="183">
        <v>0.37912037037037033</v>
      </c>
      <c r="C738" s="184" t="s">
        <v>67</v>
      </c>
      <c r="D738" s="184" t="s">
        <v>159</v>
      </c>
      <c r="E738" s="184" t="s">
        <v>96</v>
      </c>
      <c r="F738" s="182">
        <v>44142</v>
      </c>
      <c r="G738" s="186" t="s">
        <v>94</v>
      </c>
      <c r="H738" s="184" t="s">
        <v>228</v>
      </c>
    </row>
    <row r="739" spans="1:20">
      <c r="A739" s="182">
        <v>44124</v>
      </c>
      <c r="B739" s="183">
        <v>0.38109953703703708</v>
      </c>
      <c r="C739" s="184" t="s">
        <v>67</v>
      </c>
      <c r="D739" s="184" t="s">
        <v>159</v>
      </c>
      <c r="E739" s="184" t="s">
        <v>96</v>
      </c>
      <c r="F739" s="182">
        <v>44142</v>
      </c>
      <c r="G739" s="186" t="s">
        <v>99</v>
      </c>
      <c r="H739" s="184" t="s">
        <v>215</v>
      </c>
    </row>
    <row r="740" spans="1:20">
      <c r="A740" s="182">
        <v>44124</v>
      </c>
      <c r="B740" s="183">
        <v>0.49846064814814817</v>
      </c>
      <c r="C740" s="184" t="s">
        <v>67</v>
      </c>
      <c r="D740" s="184" t="s">
        <v>68</v>
      </c>
      <c r="E740" s="184" t="s">
        <v>96</v>
      </c>
      <c r="F740" s="182">
        <v>44142</v>
      </c>
      <c r="G740" s="186" t="s">
        <v>94</v>
      </c>
      <c r="H740" s="184" t="s">
        <v>213</v>
      </c>
      <c r="T740" s="184" t="s">
        <v>429</v>
      </c>
    </row>
    <row r="741" spans="1:20">
      <c r="A741" s="182">
        <v>44124</v>
      </c>
      <c r="B741" s="183">
        <v>0.66995370370370377</v>
      </c>
      <c r="C741" s="184" t="s">
        <v>67</v>
      </c>
      <c r="D741" s="184" t="s">
        <v>68</v>
      </c>
      <c r="E741" s="184" t="s">
        <v>124</v>
      </c>
      <c r="F741" s="182">
        <v>44148</v>
      </c>
      <c r="G741" s="186" t="s">
        <v>94</v>
      </c>
      <c r="H741" s="184" t="s">
        <v>201</v>
      </c>
      <c r="T741" s="184" t="s">
        <v>234</v>
      </c>
    </row>
    <row r="742" spans="1:20">
      <c r="A742" s="182">
        <v>44125</v>
      </c>
      <c r="B742" s="183">
        <v>0.59868055555555555</v>
      </c>
      <c r="C742" s="184" t="s">
        <v>73</v>
      </c>
      <c r="D742" s="184" t="s">
        <v>68</v>
      </c>
      <c r="E742" s="184" t="s">
        <v>124</v>
      </c>
      <c r="F742" s="182">
        <v>44148</v>
      </c>
      <c r="G742" s="186" t="s">
        <v>99</v>
      </c>
      <c r="H742" s="184" t="s">
        <v>425</v>
      </c>
      <c r="T742" s="184" t="s">
        <v>234</v>
      </c>
    </row>
    <row r="743" spans="1:20">
      <c r="A743" s="182">
        <v>44126</v>
      </c>
      <c r="B743" s="183">
        <v>0.4306828703703704</v>
      </c>
      <c r="C743" s="184" t="s">
        <v>67</v>
      </c>
      <c r="D743" s="184" t="s">
        <v>91</v>
      </c>
      <c r="E743" s="184" t="s">
        <v>96</v>
      </c>
      <c r="F743" s="182">
        <v>44142</v>
      </c>
      <c r="G743" s="186" t="s">
        <v>99</v>
      </c>
      <c r="H743" s="184" t="s">
        <v>229</v>
      </c>
    </row>
    <row r="744" spans="1:20">
      <c r="A744" s="182">
        <v>44126</v>
      </c>
      <c r="B744" s="183">
        <v>0.43096064814814811</v>
      </c>
      <c r="C744" s="184" t="s">
        <v>67</v>
      </c>
      <c r="D744" s="184" t="s">
        <v>91</v>
      </c>
      <c r="E744" s="184" t="s">
        <v>96</v>
      </c>
      <c r="F744" s="182">
        <v>44142</v>
      </c>
      <c r="G744" s="186" t="s">
        <v>75</v>
      </c>
      <c r="H744" s="184" t="s">
        <v>218</v>
      </c>
    </row>
    <row r="745" spans="1:20">
      <c r="A745" s="182">
        <v>44126</v>
      </c>
      <c r="B745" s="183">
        <v>0.65738425925925925</v>
      </c>
      <c r="C745" s="184" t="s">
        <v>67</v>
      </c>
      <c r="D745" s="184" t="s">
        <v>78</v>
      </c>
      <c r="E745" s="184" t="s">
        <v>96</v>
      </c>
      <c r="F745" s="182">
        <v>44142</v>
      </c>
      <c r="G745" s="186" t="s">
        <v>99</v>
      </c>
      <c r="H745" s="184" t="s">
        <v>288</v>
      </c>
    </row>
    <row r="746" spans="1:20">
      <c r="A746" s="182">
        <v>44126</v>
      </c>
      <c r="B746" s="183">
        <v>0.67106481481481473</v>
      </c>
      <c r="C746" s="184" t="s">
        <v>67</v>
      </c>
      <c r="D746" s="184" t="s">
        <v>68</v>
      </c>
      <c r="E746" s="184" t="s">
        <v>96</v>
      </c>
      <c r="F746" s="182">
        <v>44142</v>
      </c>
      <c r="G746" s="186" t="s">
        <v>94</v>
      </c>
      <c r="H746" s="184" t="s">
        <v>225</v>
      </c>
      <c r="T746" s="184" t="s">
        <v>430</v>
      </c>
    </row>
    <row r="747" spans="1:20">
      <c r="A747" s="182">
        <v>44127</v>
      </c>
      <c r="B747" s="183">
        <v>0.39158564814814811</v>
      </c>
      <c r="C747" s="184" t="s">
        <v>67</v>
      </c>
      <c r="D747" s="184" t="s">
        <v>91</v>
      </c>
      <c r="E747" s="184" t="s">
        <v>19</v>
      </c>
      <c r="F747" s="182">
        <v>44168</v>
      </c>
      <c r="G747" s="186" t="s">
        <v>112</v>
      </c>
      <c r="H747" s="184" t="s">
        <v>189</v>
      </c>
    </row>
    <row r="748" spans="1:20">
      <c r="A748" s="182">
        <v>44127</v>
      </c>
      <c r="B748" s="183">
        <v>0.426724537037037</v>
      </c>
      <c r="C748" s="184" t="s">
        <v>67</v>
      </c>
      <c r="D748" s="184" t="s">
        <v>68</v>
      </c>
      <c r="E748" s="184" t="s">
        <v>124</v>
      </c>
      <c r="F748" s="182">
        <v>44148</v>
      </c>
      <c r="G748" s="186" t="s">
        <v>94</v>
      </c>
      <c r="H748" s="184" t="s">
        <v>201</v>
      </c>
      <c r="T748" s="184" t="s">
        <v>431</v>
      </c>
    </row>
    <row r="749" spans="1:20">
      <c r="A749" s="182">
        <v>44127</v>
      </c>
      <c r="B749" s="183">
        <v>0.65614583333333332</v>
      </c>
      <c r="C749" s="184" t="s">
        <v>67</v>
      </c>
      <c r="D749" s="184" t="s">
        <v>91</v>
      </c>
      <c r="E749" s="184" t="s">
        <v>69</v>
      </c>
      <c r="F749" s="182">
        <v>44153</v>
      </c>
      <c r="G749" s="186" t="s">
        <v>99</v>
      </c>
      <c r="H749" s="184" t="s">
        <v>285</v>
      </c>
    </row>
    <row r="750" spans="1:20">
      <c r="A750" s="182">
        <v>44131</v>
      </c>
      <c r="B750" s="183">
        <v>0.38726851851851851</v>
      </c>
      <c r="C750" s="184" t="s">
        <v>67</v>
      </c>
      <c r="D750" s="184" t="s">
        <v>68</v>
      </c>
      <c r="E750" s="184" t="s">
        <v>19</v>
      </c>
      <c r="F750" s="182">
        <v>44168</v>
      </c>
      <c r="G750" s="186" t="s">
        <v>112</v>
      </c>
      <c r="H750" s="184" t="s">
        <v>322</v>
      </c>
      <c r="T750" s="184" t="s">
        <v>432</v>
      </c>
    </row>
    <row r="751" spans="1:20">
      <c r="A751" s="182">
        <v>44131</v>
      </c>
      <c r="B751" s="183">
        <v>0.63754629629629633</v>
      </c>
      <c r="C751" s="184" t="s">
        <v>67</v>
      </c>
      <c r="D751" s="184" t="s">
        <v>68</v>
      </c>
      <c r="E751" s="184" t="s">
        <v>96</v>
      </c>
      <c r="F751" s="182">
        <v>44142</v>
      </c>
      <c r="G751" s="186" t="s">
        <v>99</v>
      </c>
      <c r="H751" s="184" t="s">
        <v>213</v>
      </c>
      <c r="T751" s="184" t="s">
        <v>433</v>
      </c>
    </row>
    <row r="752" spans="1:20">
      <c r="A752" s="182">
        <v>44131</v>
      </c>
      <c r="B752" s="183">
        <v>0.65480324074074081</v>
      </c>
      <c r="C752" s="184" t="s">
        <v>67</v>
      </c>
      <c r="D752" s="184" t="s">
        <v>68</v>
      </c>
      <c r="E752" s="184" t="s">
        <v>96</v>
      </c>
      <c r="F752" s="182">
        <v>44142</v>
      </c>
      <c r="G752" s="186" t="s">
        <v>94</v>
      </c>
      <c r="H752" s="184" t="s">
        <v>225</v>
      </c>
      <c r="T752" s="184" t="s">
        <v>433</v>
      </c>
    </row>
    <row r="753" spans="1:20">
      <c r="A753" s="182">
        <v>44132</v>
      </c>
      <c r="B753" s="183">
        <v>0.40259259259259261</v>
      </c>
      <c r="C753" s="184" t="s">
        <v>73</v>
      </c>
      <c r="D753" s="184" t="s">
        <v>78</v>
      </c>
      <c r="E753" s="184" t="s">
        <v>69</v>
      </c>
      <c r="F753" s="182">
        <v>44153</v>
      </c>
      <c r="G753" s="186" t="s">
        <v>114</v>
      </c>
      <c r="H753" s="184" t="s">
        <v>113</v>
      </c>
    </row>
    <row r="754" spans="1:20">
      <c r="A754" s="182">
        <v>44132</v>
      </c>
      <c r="B754" s="183">
        <v>0.48660879629629633</v>
      </c>
      <c r="C754" s="184" t="s">
        <v>73</v>
      </c>
      <c r="D754" s="184" t="s">
        <v>68</v>
      </c>
      <c r="E754" s="184" t="s">
        <v>96</v>
      </c>
      <c r="F754" s="182">
        <v>44142</v>
      </c>
      <c r="G754" s="186" t="s">
        <v>114</v>
      </c>
      <c r="H754" s="184" t="s">
        <v>239</v>
      </c>
      <c r="T754" s="184" t="s">
        <v>434</v>
      </c>
    </row>
    <row r="755" spans="1:20">
      <c r="A755" s="182">
        <v>44132</v>
      </c>
      <c r="B755" s="183">
        <v>0.49846064814814817</v>
      </c>
      <c r="C755" s="184" t="s">
        <v>73</v>
      </c>
      <c r="D755" s="184" t="s">
        <v>68</v>
      </c>
      <c r="E755" s="184" t="s">
        <v>96</v>
      </c>
      <c r="F755" s="182">
        <v>44142</v>
      </c>
      <c r="G755" s="186" t="s">
        <v>94</v>
      </c>
      <c r="H755" s="184" t="s">
        <v>241</v>
      </c>
      <c r="T755" s="184" t="s">
        <v>434</v>
      </c>
    </row>
    <row r="756" spans="1:20">
      <c r="A756" s="182">
        <v>44132</v>
      </c>
      <c r="B756" s="183">
        <v>0.49907407407407406</v>
      </c>
      <c r="C756" s="184" t="s">
        <v>73</v>
      </c>
      <c r="D756" s="184" t="s">
        <v>159</v>
      </c>
      <c r="E756" s="184" t="s">
        <v>96</v>
      </c>
      <c r="F756" s="182">
        <v>44142</v>
      </c>
      <c r="G756" s="186" t="s">
        <v>99</v>
      </c>
      <c r="H756" s="184" t="s">
        <v>216</v>
      </c>
    </row>
    <row r="757" spans="1:20">
      <c r="A757" s="182">
        <v>44132</v>
      </c>
      <c r="B757" s="183">
        <v>0.54818287037037039</v>
      </c>
      <c r="C757" s="184" t="s">
        <v>73</v>
      </c>
      <c r="D757" s="184" t="s">
        <v>68</v>
      </c>
      <c r="E757" s="184" t="s">
        <v>124</v>
      </c>
      <c r="F757" s="182">
        <v>44148</v>
      </c>
      <c r="G757" s="186" t="s">
        <v>94</v>
      </c>
      <c r="H757" s="184" t="s">
        <v>202</v>
      </c>
      <c r="T757" s="184" t="s">
        <v>302</v>
      </c>
    </row>
    <row r="758" spans="1:20">
      <c r="A758" s="182">
        <v>44139</v>
      </c>
      <c r="B758" s="183">
        <v>0.70599537037037041</v>
      </c>
      <c r="C758" s="184" t="s">
        <v>67</v>
      </c>
      <c r="D758" s="184" t="s">
        <v>68</v>
      </c>
      <c r="E758" s="184" t="s">
        <v>19</v>
      </c>
      <c r="F758" s="182">
        <v>44168</v>
      </c>
      <c r="G758" s="186" t="s">
        <v>94</v>
      </c>
      <c r="H758" s="184" t="s">
        <v>185</v>
      </c>
      <c r="T758" s="184" t="s">
        <v>88</v>
      </c>
    </row>
    <row r="759" spans="1:20">
      <c r="A759" s="182">
        <v>44140</v>
      </c>
      <c r="B759" s="183">
        <v>0.46212962962962961</v>
      </c>
      <c r="C759" s="184" t="s">
        <v>67</v>
      </c>
      <c r="D759" s="184" t="s">
        <v>68</v>
      </c>
      <c r="E759" s="184" t="s">
        <v>19</v>
      </c>
      <c r="F759" s="182">
        <v>44168</v>
      </c>
      <c r="G759" s="186" t="s">
        <v>94</v>
      </c>
      <c r="H759" s="184" t="s">
        <v>308</v>
      </c>
      <c r="T759" s="184" t="s">
        <v>435</v>
      </c>
    </row>
    <row r="760" spans="1:20">
      <c r="A760" s="182">
        <v>44140</v>
      </c>
      <c r="B760" s="183">
        <v>0.57210648148148147</v>
      </c>
      <c r="C760" s="184" t="s">
        <v>67</v>
      </c>
      <c r="D760" s="184" t="s">
        <v>68</v>
      </c>
      <c r="E760" s="184" t="s">
        <v>69</v>
      </c>
      <c r="F760" s="182">
        <v>44153</v>
      </c>
      <c r="G760" s="186" t="s">
        <v>94</v>
      </c>
      <c r="H760" s="184" t="s">
        <v>117</v>
      </c>
      <c r="T760" s="184" t="s">
        <v>436</v>
      </c>
    </row>
    <row r="761" spans="1:20">
      <c r="A761" s="182">
        <v>44141</v>
      </c>
      <c r="B761" s="183">
        <v>0.42608796296296297</v>
      </c>
      <c r="C761" s="184" t="s">
        <v>73</v>
      </c>
      <c r="D761" s="184" t="s">
        <v>68</v>
      </c>
      <c r="E761" s="184" t="s">
        <v>19</v>
      </c>
      <c r="F761" s="182">
        <v>44168</v>
      </c>
      <c r="G761" s="186" t="s">
        <v>94</v>
      </c>
      <c r="H761" s="184" t="s">
        <v>190</v>
      </c>
      <c r="T761" s="184" t="s">
        <v>431</v>
      </c>
    </row>
    <row r="762" spans="1:20">
      <c r="A762" s="182">
        <v>44141</v>
      </c>
      <c r="B762" s="183">
        <v>0.46937500000000004</v>
      </c>
      <c r="C762" s="184" t="s">
        <v>67</v>
      </c>
      <c r="D762" s="184" t="s">
        <v>68</v>
      </c>
      <c r="E762" s="184" t="s">
        <v>69</v>
      </c>
      <c r="F762" s="182">
        <v>44153</v>
      </c>
      <c r="G762" s="186" t="s">
        <v>94</v>
      </c>
      <c r="H762" s="184" t="s">
        <v>259</v>
      </c>
      <c r="T762" s="184" t="s">
        <v>437</v>
      </c>
    </row>
    <row r="763" spans="1:20">
      <c r="A763" s="182">
        <v>44141</v>
      </c>
      <c r="B763" s="183">
        <v>0.52484953703703707</v>
      </c>
      <c r="C763" s="184" t="s">
        <v>73</v>
      </c>
      <c r="D763" s="184" t="s">
        <v>68</v>
      </c>
      <c r="E763" s="184" t="s">
        <v>19</v>
      </c>
      <c r="F763" s="182">
        <v>44168</v>
      </c>
      <c r="G763" s="186" t="s">
        <v>94</v>
      </c>
      <c r="H763" s="184" t="s">
        <v>206</v>
      </c>
      <c r="T763" s="184" t="s">
        <v>438</v>
      </c>
    </row>
    <row r="764" spans="1:20">
      <c r="A764" s="182">
        <v>44141</v>
      </c>
      <c r="B764" s="183">
        <v>0.52908564814814818</v>
      </c>
      <c r="C764" s="184" t="s">
        <v>73</v>
      </c>
      <c r="D764" s="184" t="s">
        <v>68</v>
      </c>
      <c r="E764" s="184" t="s">
        <v>19</v>
      </c>
      <c r="F764" s="182">
        <v>44168</v>
      </c>
      <c r="G764" s="186" t="s">
        <v>94</v>
      </c>
      <c r="H764" s="184" t="s">
        <v>209</v>
      </c>
      <c r="T764" s="184" t="s">
        <v>439</v>
      </c>
    </row>
    <row r="765" spans="1:20">
      <c r="A765" s="182">
        <v>44141</v>
      </c>
      <c r="B765" s="183">
        <v>0.54425925925925933</v>
      </c>
      <c r="C765" s="184" t="s">
        <v>73</v>
      </c>
      <c r="D765" s="184" t="s">
        <v>68</v>
      </c>
      <c r="E765" s="184" t="s">
        <v>96</v>
      </c>
      <c r="F765" s="182">
        <v>44208</v>
      </c>
      <c r="G765" s="186" t="s">
        <v>70</v>
      </c>
      <c r="H765" s="184" t="s">
        <v>71</v>
      </c>
      <c r="T765" s="184" t="s">
        <v>438</v>
      </c>
    </row>
    <row r="766" spans="1:20">
      <c r="A766" s="182">
        <v>44141</v>
      </c>
      <c r="B766" s="183">
        <v>0.64712962962962961</v>
      </c>
      <c r="C766" s="184" t="s">
        <v>73</v>
      </c>
      <c r="D766" s="184" t="s">
        <v>68</v>
      </c>
      <c r="E766" s="184" t="s">
        <v>19</v>
      </c>
      <c r="F766" s="182">
        <v>44168</v>
      </c>
      <c r="G766" s="186" t="s">
        <v>99</v>
      </c>
      <c r="H766" s="184" t="s">
        <v>206</v>
      </c>
      <c r="T766" s="184" t="s">
        <v>389</v>
      </c>
    </row>
    <row r="767" spans="1:20">
      <c r="A767" s="182">
        <v>44145</v>
      </c>
      <c r="B767" s="183">
        <v>0.56284722222222217</v>
      </c>
      <c r="C767" s="184" t="s">
        <v>67</v>
      </c>
      <c r="D767" s="184" t="s">
        <v>68</v>
      </c>
      <c r="E767" s="184" t="s">
        <v>96</v>
      </c>
      <c r="F767" s="182">
        <v>44208</v>
      </c>
      <c r="G767" s="186" t="s">
        <v>94</v>
      </c>
      <c r="H767" s="184" t="s">
        <v>76</v>
      </c>
      <c r="T767" s="184" t="s">
        <v>440</v>
      </c>
    </row>
    <row r="768" spans="1:20">
      <c r="A768" s="182">
        <v>44146</v>
      </c>
      <c r="B768" s="183">
        <v>0.46766203703703701</v>
      </c>
      <c r="C768" s="184" t="s">
        <v>67</v>
      </c>
      <c r="D768" s="184" t="s">
        <v>91</v>
      </c>
      <c r="E768" s="184" t="s">
        <v>96</v>
      </c>
      <c r="F768" s="182">
        <v>44208</v>
      </c>
      <c r="G768" s="186" t="s">
        <v>94</v>
      </c>
      <c r="H768" s="184" t="s">
        <v>229</v>
      </c>
    </row>
    <row r="769" spans="1:20">
      <c r="A769" s="182">
        <v>44146</v>
      </c>
      <c r="B769" s="183">
        <v>0.46810185185185182</v>
      </c>
      <c r="C769" s="184" t="s">
        <v>67</v>
      </c>
      <c r="D769" s="184" t="s">
        <v>91</v>
      </c>
      <c r="E769" s="184" t="s">
        <v>45</v>
      </c>
      <c r="F769" s="182">
        <v>44162</v>
      </c>
      <c r="G769" s="186" t="s">
        <v>99</v>
      </c>
      <c r="H769" s="184" t="s">
        <v>227</v>
      </c>
    </row>
    <row r="770" spans="1:20">
      <c r="A770" s="182">
        <v>44148</v>
      </c>
      <c r="B770" s="183">
        <v>0.40697916666666667</v>
      </c>
      <c r="C770" s="184" t="s">
        <v>73</v>
      </c>
      <c r="D770" s="184" t="s">
        <v>78</v>
      </c>
      <c r="E770" s="184" t="s">
        <v>96</v>
      </c>
      <c r="F770" s="182">
        <v>44208</v>
      </c>
      <c r="G770" s="186" t="s">
        <v>70</v>
      </c>
      <c r="H770" s="184" t="s">
        <v>86</v>
      </c>
    </row>
    <row r="771" spans="1:20">
      <c r="A771" s="182">
        <v>44148</v>
      </c>
      <c r="B771" s="183">
        <v>0.70127314814814812</v>
      </c>
      <c r="C771" s="184" t="s">
        <v>73</v>
      </c>
      <c r="D771" s="184" t="s">
        <v>91</v>
      </c>
      <c r="E771" s="184" t="s">
        <v>19</v>
      </c>
      <c r="F771" s="182">
        <v>44168</v>
      </c>
      <c r="G771" s="186" t="s">
        <v>99</v>
      </c>
      <c r="H771" s="184" t="s">
        <v>229</v>
      </c>
    </row>
    <row r="772" spans="1:20">
      <c r="A772" s="182">
        <v>44151</v>
      </c>
      <c r="B772" s="183">
        <v>0.55475694444444446</v>
      </c>
      <c r="C772" s="184" t="s">
        <v>67</v>
      </c>
      <c r="D772" s="184" t="s">
        <v>68</v>
      </c>
      <c r="E772" s="184" t="s">
        <v>69</v>
      </c>
      <c r="F772" s="182">
        <v>44153</v>
      </c>
      <c r="G772" s="186" t="s">
        <v>99</v>
      </c>
      <c r="H772" s="184" t="s">
        <v>117</v>
      </c>
      <c r="T772" s="184" t="s">
        <v>441</v>
      </c>
    </row>
    <row r="773" spans="1:20">
      <c r="A773" s="182">
        <v>44151</v>
      </c>
      <c r="B773" s="183">
        <v>0.55525462962962957</v>
      </c>
      <c r="C773" s="184" t="s">
        <v>67</v>
      </c>
      <c r="D773" s="184" t="s">
        <v>68</v>
      </c>
      <c r="E773" s="184" t="s">
        <v>69</v>
      </c>
      <c r="F773" s="182">
        <v>44252</v>
      </c>
      <c r="G773" s="186" t="s">
        <v>94</v>
      </c>
      <c r="H773" s="184" t="s">
        <v>71</v>
      </c>
      <c r="T773" s="184" t="s">
        <v>441</v>
      </c>
    </row>
    <row r="774" spans="1:20">
      <c r="A774" s="182">
        <v>44153</v>
      </c>
      <c r="B774" s="183">
        <v>0.66781250000000003</v>
      </c>
      <c r="C774" s="184" t="s">
        <v>73</v>
      </c>
      <c r="D774" s="184" t="s">
        <v>68</v>
      </c>
      <c r="E774" s="184" t="s">
        <v>19</v>
      </c>
      <c r="F774" s="182">
        <v>44168</v>
      </c>
      <c r="G774" s="186" t="s">
        <v>94</v>
      </c>
      <c r="H774" s="184" t="s">
        <v>209</v>
      </c>
      <c r="T774" s="184" t="s">
        <v>249</v>
      </c>
    </row>
    <row r="775" spans="1:20">
      <c r="A775" s="182">
        <v>44153</v>
      </c>
      <c r="B775" s="183">
        <v>0.66841435185185183</v>
      </c>
      <c r="C775" s="184" t="s">
        <v>73</v>
      </c>
      <c r="D775" s="184" t="s">
        <v>68</v>
      </c>
      <c r="E775" s="184" t="s">
        <v>45</v>
      </c>
      <c r="F775" s="182">
        <v>44162</v>
      </c>
      <c r="G775" s="186" t="s">
        <v>94</v>
      </c>
      <c r="H775" s="184" t="s">
        <v>206</v>
      </c>
      <c r="T775" s="184" t="s">
        <v>249</v>
      </c>
    </row>
    <row r="776" spans="1:20">
      <c r="A776" s="182">
        <v>44153</v>
      </c>
      <c r="B776" s="183">
        <v>0.66893518518518524</v>
      </c>
      <c r="C776" s="184" t="s">
        <v>73</v>
      </c>
      <c r="D776" s="184" t="s">
        <v>68</v>
      </c>
      <c r="E776" s="184" t="s">
        <v>96</v>
      </c>
      <c r="F776" s="182">
        <v>44208</v>
      </c>
      <c r="G776" s="186" t="s">
        <v>94</v>
      </c>
      <c r="H776" s="184" t="s">
        <v>87</v>
      </c>
      <c r="T776" s="184" t="s">
        <v>249</v>
      </c>
    </row>
    <row r="777" spans="1:20">
      <c r="A777" s="182">
        <v>44154</v>
      </c>
      <c r="B777" s="183">
        <v>0.65201388888888889</v>
      </c>
      <c r="C777" s="184" t="s">
        <v>67</v>
      </c>
      <c r="D777" s="184" t="s">
        <v>78</v>
      </c>
      <c r="E777" s="184" t="s">
        <v>19</v>
      </c>
      <c r="F777" s="182">
        <v>44168</v>
      </c>
      <c r="G777" s="186" t="s">
        <v>99</v>
      </c>
      <c r="H777" s="184" t="s">
        <v>288</v>
      </c>
    </row>
    <row r="778" spans="1:20">
      <c r="A778" s="182">
        <v>44154</v>
      </c>
      <c r="B778" s="183">
        <v>0.67097222222222219</v>
      </c>
      <c r="C778" s="184" t="s">
        <v>67</v>
      </c>
      <c r="D778" s="184" t="s">
        <v>68</v>
      </c>
      <c r="E778" s="184" t="s">
        <v>19</v>
      </c>
      <c r="F778" s="182">
        <v>44168</v>
      </c>
      <c r="G778" s="186" t="s">
        <v>114</v>
      </c>
      <c r="H778" s="184" t="s">
        <v>213</v>
      </c>
      <c r="T778" s="184" t="s">
        <v>203</v>
      </c>
    </row>
    <row r="779" spans="1:20">
      <c r="A779" s="182">
        <v>44155</v>
      </c>
      <c r="B779" s="183">
        <v>0.4211226851851852</v>
      </c>
      <c r="C779" s="184" t="s">
        <v>73</v>
      </c>
      <c r="D779" s="184" t="s">
        <v>68</v>
      </c>
      <c r="E779" s="184" t="s">
        <v>96</v>
      </c>
      <c r="F779" s="182">
        <v>44208</v>
      </c>
      <c r="G779" s="186" t="s">
        <v>94</v>
      </c>
      <c r="H779" s="184" t="s">
        <v>101</v>
      </c>
      <c r="T779" s="184" t="s">
        <v>442</v>
      </c>
    </row>
    <row r="780" spans="1:20">
      <c r="A780" s="182">
        <v>44155</v>
      </c>
      <c r="B780" s="183">
        <v>0.45516203703703706</v>
      </c>
      <c r="C780" s="184" t="s">
        <v>73</v>
      </c>
      <c r="D780" s="184" t="s">
        <v>68</v>
      </c>
      <c r="E780" s="184" t="s">
        <v>96</v>
      </c>
      <c r="F780" s="182">
        <v>44208</v>
      </c>
      <c r="G780" s="186" t="s">
        <v>114</v>
      </c>
      <c r="H780" s="184" t="s">
        <v>182</v>
      </c>
      <c r="T780" s="184" t="s">
        <v>443</v>
      </c>
    </row>
    <row r="781" spans="1:20">
      <c r="A781" s="182">
        <v>44155</v>
      </c>
      <c r="B781" s="183">
        <v>0.45703703703703707</v>
      </c>
      <c r="C781" s="184" t="s">
        <v>73</v>
      </c>
      <c r="D781" s="184" t="s">
        <v>68</v>
      </c>
      <c r="E781" s="184" t="s">
        <v>19</v>
      </c>
      <c r="F781" s="182">
        <v>44168</v>
      </c>
      <c r="G781" s="186" t="s">
        <v>94</v>
      </c>
      <c r="H781" s="184" t="s">
        <v>225</v>
      </c>
      <c r="T781" s="184" t="s">
        <v>444</v>
      </c>
    </row>
    <row r="782" spans="1:20">
      <c r="A782" s="182">
        <v>44155</v>
      </c>
      <c r="B782" s="183">
        <v>0.57082175925925926</v>
      </c>
      <c r="C782" s="184" t="s">
        <v>73</v>
      </c>
      <c r="D782" s="184" t="s">
        <v>68</v>
      </c>
      <c r="E782" s="184" t="s">
        <v>19</v>
      </c>
      <c r="F782" s="182">
        <v>44168</v>
      </c>
      <c r="G782" s="186" t="s">
        <v>99</v>
      </c>
      <c r="H782" s="184" t="s">
        <v>213</v>
      </c>
      <c r="T782" s="184" t="s">
        <v>443</v>
      </c>
    </row>
    <row r="783" spans="1:20">
      <c r="A783" s="182">
        <v>44155</v>
      </c>
      <c r="B783" s="183">
        <v>0.57601851851851849</v>
      </c>
      <c r="C783" s="184" t="s">
        <v>73</v>
      </c>
      <c r="D783" s="184" t="s">
        <v>91</v>
      </c>
      <c r="E783" s="184" t="s">
        <v>19</v>
      </c>
      <c r="F783" s="182">
        <v>44168</v>
      </c>
      <c r="G783" s="186" t="s">
        <v>99</v>
      </c>
      <c r="H783" s="184" t="s">
        <v>120</v>
      </c>
    </row>
    <row r="784" spans="1:20">
      <c r="A784" s="182">
        <v>44155</v>
      </c>
      <c r="B784" s="183">
        <v>0.57613425925925921</v>
      </c>
      <c r="C784" s="184" t="s">
        <v>73</v>
      </c>
      <c r="D784" s="184" t="s">
        <v>91</v>
      </c>
      <c r="E784" s="184" t="s">
        <v>19</v>
      </c>
      <c r="F784" s="182">
        <v>44168</v>
      </c>
      <c r="G784" s="186" t="s">
        <v>70</v>
      </c>
      <c r="H784" s="184" t="s">
        <v>229</v>
      </c>
    </row>
    <row r="785" spans="1:20">
      <c r="A785" s="182">
        <v>44159</v>
      </c>
      <c r="B785" s="183">
        <v>0.69398148148148142</v>
      </c>
      <c r="C785" s="184" t="s">
        <v>73</v>
      </c>
      <c r="D785" s="184" t="s">
        <v>68</v>
      </c>
      <c r="E785" s="184" t="s">
        <v>96</v>
      </c>
      <c r="F785" s="182">
        <v>44208</v>
      </c>
      <c r="G785" s="186" t="s">
        <v>115</v>
      </c>
      <c r="H785" s="184" t="s">
        <v>101</v>
      </c>
      <c r="T785" s="184" t="s">
        <v>444</v>
      </c>
    </row>
    <row r="786" spans="1:20">
      <c r="A786" s="182">
        <v>44165</v>
      </c>
      <c r="B786" s="183">
        <v>0.49319444444444444</v>
      </c>
      <c r="C786" s="184" t="s">
        <v>67</v>
      </c>
      <c r="D786" s="184" t="s">
        <v>91</v>
      </c>
      <c r="E786" s="184" t="s">
        <v>96</v>
      </c>
      <c r="F786" s="182">
        <v>44208</v>
      </c>
      <c r="G786" s="186" t="s">
        <v>94</v>
      </c>
      <c r="H786" s="184" t="s">
        <v>189</v>
      </c>
    </row>
    <row r="787" spans="1:20">
      <c r="A787" s="182">
        <v>44166</v>
      </c>
      <c r="B787" s="183">
        <v>0.4682986111111111</v>
      </c>
      <c r="C787" s="184" t="s">
        <v>67</v>
      </c>
      <c r="D787" s="184" t="s">
        <v>68</v>
      </c>
      <c r="E787" s="184" t="s">
        <v>19</v>
      </c>
      <c r="F787" s="182">
        <v>44168</v>
      </c>
      <c r="G787" s="186" t="s">
        <v>99</v>
      </c>
      <c r="H787" s="184" t="s">
        <v>272</v>
      </c>
      <c r="T787" s="184" t="s">
        <v>445</v>
      </c>
    </row>
    <row r="788" spans="1:20">
      <c r="A788" s="182">
        <v>44166</v>
      </c>
      <c r="B788" s="183">
        <v>0.55361111111111116</v>
      </c>
      <c r="C788" s="184" t="s">
        <v>73</v>
      </c>
      <c r="D788" s="184" t="s">
        <v>68</v>
      </c>
      <c r="E788" s="184" t="s">
        <v>96</v>
      </c>
      <c r="F788" s="182">
        <v>44208</v>
      </c>
      <c r="G788" s="186" t="s">
        <v>94</v>
      </c>
      <c r="H788" s="184" t="s">
        <v>103</v>
      </c>
      <c r="T788" s="184" t="s">
        <v>444</v>
      </c>
    </row>
    <row r="789" spans="1:20">
      <c r="A789" s="182">
        <v>44167</v>
      </c>
      <c r="B789" s="183">
        <v>0.55074074074074075</v>
      </c>
      <c r="C789" s="184" t="s">
        <v>73</v>
      </c>
      <c r="D789" s="184" t="s">
        <v>68</v>
      </c>
      <c r="E789" s="184" t="s">
        <v>96</v>
      </c>
      <c r="F789" s="182">
        <v>44208</v>
      </c>
      <c r="G789" s="186" t="s">
        <v>94</v>
      </c>
      <c r="H789" s="184" t="s">
        <v>182</v>
      </c>
      <c r="T789" s="184" t="s">
        <v>446</v>
      </c>
    </row>
    <row r="790" spans="1:20">
      <c r="A790" s="182">
        <v>44169</v>
      </c>
      <c r="B790" s="183">
        <v>0.44901620370370371</v>
      </c>
      <c r="C790" s="184" t="s">
        <v>67</v>
      </c>
      <c r="D790" s="184" t="s">
        <v>78</v>
      </c>
      <c r="E790" s="184" t="s">
        <v>45</v>
      </c>
      <c r="F790" s="182">
        <v>44240</v>
      </c>
      <c r="G790" s="186" t="s">
        <v>94</v>
      </c>
      <c r="H790" s="184" t="s">
        <v>265</v>
      </c>
    </row>
    <row r="791" spans="1:20">
      <c r="A791" s="182">
        <v>44169</v>
      </c>
      <c r="B791" s="183">
        <v>0.49776620370370367</v>
      </c>
      <c r="C791" s="184" t="s">
        <v>73</v>
      </c>
      <c r="D791" s="184" t="s">
        <v>68</v>
      </c>
      <c r="E791" s="184" t="s">
        <v>96</v>
      </c>
      <c r="F791" s="182">
        <v>44271</v>
      </c>
      <c r="G791" s="186" t="s">
        <v>70</v>
      </c>
      <c r="H791" s="184" t="s">
        <v>71</v>
      </c>
      <c r="T791" s="184" t="s">
        <v>411</v>
      </c>
    </row>
    <row r="792" spans="1:20">
      <c r="A792" s="182">
        <v>44172</v>
      </c>
      <c r="B792" s="183">
        <v>0.37516203703703704</v>
      </c>
      <c r="C792" s="184" t="s">
        <v>73</v>
      </c>
      <c r="D792" s="184" t="s">
        <v>68</v>
      </c>
      <c r="E792" s="184" t="s">
        <v>96</v>
      </c>
      <c r="F792" s="182">
        <v>44208</v>
      </c>
      <c r="G792" s="186" t="s">
        <v>94</v>
      </c>
      <c r="H792" s="184" t="s">
        <v>117</v>
      </c>
      <c r="T792" s="184" t="s">
        <v>447</v>
      </c>
    </row>
    <row r="793" spans="1:20">
      <c r="A793" s="182">
        <v>44172</v>
      </c>
      <c r="B793" s="183">
        <v>0.40199074074074076</v>
      </c>
      <c r="C793" s="184" t="s">
        <v>73</v>
      </c>
      <c r="D793" s="184" t="s">
        <v>68</v>
      </c>
      <c r="E793" s="184" t="s">
        <v>96</v>
      </c>
      <c r="F793" s="182">
        <v>44208</v>
      </c>
      <c r="G793" s="186" t="s">
        <v>99</v>
      </c>
      <c r="H793" s="184" t="s">
        <v>182</v>
      </c>
      <c r="T793" s="184" t="s">
        <v>438</v>
      </c>
    </row>
    <row r="794" spans="1:20">
      <c r="A794" s="182">
        <v>44172</v>
      </c>
      <c r="B794" s="183">
        <v>0.68182870370370363</v>
      </c>
      <c r="C794" s="184" t="s">
        <v>67</v>
      </c>
      <c r="D794" s="184" t="s">
        <v>68</v>
      </c>
      <c r="E794" s="184" t="s">
        <v>19</v>
      </c>
      <c r="F794" s="182">
        <v>44236</v>
      </c>
      <c r="G794" s="186" t="s">
        <v>70</v>
      </c>
      <c r="H794" s="184" t="s">
        <v>71</v>
      </c>
      <c r="T794" s="184" t="s">
        <v>448</v>
      </c>
    </row>
    <row r="795" spans="1:20">
      <c r="A795" s="182">
        <v>44173</v>
      </c>
      <c r="B795" s="183">
        <v>0.39674768518518522</v>
      </c>
      <c r="C795" s="184" t="s">
        <v>67</v>
      </c>
      <c r="D795" s="184" t="s">
        <v>78</v>
      </c>
      <c r="E795" s="184" t="s">
        <v>45</v>
      </c>
      <c r="F795" s="182">
        <v>44240</v>
      </c>
      <c r="G795" s="186" t="s">
        <v>114</v>
      </c>
      <c r="H795" s="184" t="s">
        <v>267</v>
      </c>
    </row>
    <row r="796" spans="1:20">
      <c r="A796" s="182">
        <v>44173</v>
      </c>
      <c r="B796" s="183">
        <v>0.68969907407407405</v>
      </c>
      <c r="C796" s="184" t="s">
        <v>67</v>
      </c>
      <c r="D796" s="184" t="s">
        <v>68</v>
      </c>
      <c r="E796" s="184" t="s">
        <v>19</v>
      </c>
      <c r="F796" s="182">
        <v>44236</v>
      </c>
      <c r="G796" s="186" t="s">
        <v>114</v>
      </c>
      <c r="H796" s="184" t="s">
        <v>87</v>
      </c>
      <c r="T796" s="184" t="s">
        <v>118</v>
      </c>
    </row>
    <row r="797" spans="1:20">
      <c r="A797" s="182">
        <v>44173</v>
      </c>
      <c r="B797" s="183">
        <v>0.70622685185185186</v>
      </c>
      <c r="C797" s="184" t="s">
        <v>67</v>
      </c>
      <c r="D797" s="184" t="s">
        <v>68</v>
      </c>
      <c r="E797" s="184" t="s">
        <v>45</v>
      </c>
      <c r="F797" s="182">
        <v>44240</v>
      </c>
      <c r="G797" s="186" t="s">
        <v>114</v>
      </c>
      <c r="H797" s="184" t="s">
        <v>87</v>
      </c>
      <c r="T797" s="184" t="s">
        <v>118</v>
      </c>
    </row>
    <row r="798" spans="1:20">
      <c r="A798" s="182">
        <v>44174</v>
      </c>
      <c r="B798" s="183">
        <v>0.65459490740740744</v>
      </c>
      <c r="C798" s="184" t="s">
        <v>73</v>
      </c>
      <c r="D798" s="184" t="s">
        <v>91</v>
      </c>
      <c r="E798" s="184" t="s">
        <v>96</v>
      </c>
      <c r="F798" s="182">
        <v>44271</v>
      </c>
      <c r="G798" s="186" t="s">
        <v>75</v>
      </c>
      <c r="H798" s="184" t="s">
        <v>92</v>
      </c>
    </row>
    <row r="799" spans="1:20">
      <c r="A799" s="182">
        <v>44174</v>
      </c>
      <c r="B799" s="183">
        <v>0.65481481481481485</v>
      </c>
      <c r="C799" s="184" t="s">
        <v>73</v>
      </c>
      <c r="D799" s="184" t="s">
        <v>91</v>
      </c>
      <c r="E799" s="184" t="s">
        <v>45</v>
      </c>
      <c r="F799" s="182">
        <v>44240</v>
      </c>
      <c r="G799" s="186" t="s">
        <v>75</v>
      </c>
      <c r="H799" s="184" t="s">
        <v>92</v>
      </c>
    </row>
    <row r="800" spans="1:20">
      <c r="A800" s="182">
        <v>44174</v>
      </c>
      <c r="B800" s="183">
        <v>0.67025462962962967</v>
      </c>
      <c r="C800" s="184" t="s">
        <v>73</v>
      </c>
      <c r="D800" s="184" t="s">
        <v>68</v>
      </c>
      <c r="E800" s="184" t="s">
        <v>96</v>
      </c>
      <c r="F800" s="182">
        <v>44208</v>
      </c>
      <c r="G800" s="186" t="s">
        <v>94</v>
      </c>
      <c r="H800" s="184" t="s">
        <v>117</v>
      </c>
      <c r="T800" s="184" t="s">
        <v>302</v>
      </c>
    </row>
    <row r="801" spans="1:20">
      <c r="A801" s="182">
        <v>44174</v>
      </c>
      <c r="B801" s="183">
        <v>0.7017592592592593</v>
      </c>
      <c r="C801" s="184" t="s">
        <v>73</v>
      </c>
      <c r="D801" s="184" t="s">
        <v>91</v>
      </c>
      <c r="E801" s="184" t="s">
        <v>96</v>
      </c>
      <c r="F801" s="182">
        <v>44208</v>
      </c>
      <c r="G801" s="186" t="s">
        <v>99</v>
      </c>
      <c r="H801" s="184" t="s">
        <v>229</v>
      </c>
    </row>
    <row r="802" spans="1:20">
      <c r="A802" s="182">
        <v>44174</v>
      </c>
      <c r="B802" s="183">
        <v>0.70194444444444448</v>
      </c>
      <c r="C802" s="184" t="s">
        <v>73</v>
      </c>
      <c r="D802" s="184" t="s">
        <v>91</v>
      </c>
      <c r="E802" s="184" t="s">
        <v>96</v>
      </c>
      <c r="F802" s="182">
        <v>44271</v>
      </c>
      <c r="G802" s="186" t="s">
        <v>94</v>
      </c>
      <c r="H802" s="184" t="s">
        <v>227</v>
      </c>
    </row>
    <row r="803" spans="1:20">
      <c r="A803" s="182">
        <v>44175</v>
      </c>
      <c r="B803" s="183">
        <v>0.42160879629629627</v>
      </c>
      <c r="C803" s="184" t="s">
        <v>67</v>
      </c>
      <c r="D803" s="184" t="s">
        <v>91</v>
      </c>
      <c r="E803" s="184" t="s">
        <v>45</v>
      </c>
      <c r="F803" s="182">
        <v>44240</v>
      </c>
      <c r="G803" s="186" t="s">
        <v>99</v>
      </c>
      <c r="H803" s="184" t="s">
        <v>93</v>
      </c>
      <c r="I803" s="184" t="s">
        <v>449</v>
      </c>
    </row>
    <row r="804" spans="1:20">
      <c r="A804" s="182">
        <v>44175</v>
      </c>
      <c r="B804" s="183">
        <v>0.42577546296296293</v>
      </c>
      <c r="C804" s="184" t="s">
        <v>67</v>
      </c>
      <c r="D804" s="184" t="s">
        <v>68</v>
      </c>
      <c r="E804" s="184" t="s">
        <v>96</v>
      </c>
      <c r="F804" s="182">
        <v>44208</v>
      </c>
      <c r="G804" s="186" t="s">
        <v>99</v>
      </c>
      <c r="H804" s="184" t="s">
        <v>182</v>
      </c>
      <c r="T804" s="184" t="s">
        <v>302</v>
      </c>
    </row>
    <row r="805" spans="1:20">
      <c r="A805" s="182">
        <v>44175</v>
      </c>
      <c r="B805" s="183">
        <v>0.47281250000000002</v>
      </c>
      <c r="C805" s="184" t="s">
        <v>67</v>
      </c>
      <c r="D805" s="184" t="s">
        <v>78</v>
      </c>
      <c r="E805" s="184" t="s">
        <v>45</v>
      </c>
      <c r="F805" s="182">
        <v>44240</v>
      </c>
      <c r="G805" s="186" t="s">
        <v>94</v>
      </c>
      <c r="H805" s="184" t="s">
        <v>327</v>
      </c>
    </row>
    <row r="806" spans="1:20">
      <c r="A806" s="182">
        <v>44175</v>
      </c>
      <c r="B806" s="183">
        <v>0.57026620370370373</v>
      </c>
      <c r="C806" s="184" t="s">
        <v>67</v>
      </c>
      <c r="D806" s="184" t="s">
        <v>78</v>
      </c>
      <c r="E806" s="184" t="s">
        <v>96</v>
      </c>
      <c r="F806" s="182">
        <v>44271</v>
      </c>
      <c r="G806" s="186" t="s">
        <v>70</v>
      </c>
      <c r="H806" s="184" t="s">
        <v>86</v>
      </c>
    </row>
    <row r="807" spans="1:20">
      <c r="A807" s="182">
        <v>44175</v>
      </c>
      <c r="B807" s="183">
        <v>0.57164351851851858</v>
      </c>
      <c r="C807" s="184" t="s">
        <v>67</v>
      </c>
      <c r="D807" s="184" t="s">
        <v>78</v>
      </c>
      <c r="E807" s="184" t="s">
        <v>45</v>
      </c>
      <c r="F807" s="182">
        <v>44240</v>
      </c>
      <c r="G807" s="186" t="s">
        <v>94</v>
      </c>
      <c r="H807" s="184" t="s">
        <v>82</v>
      </c>
    </row>
    <row r="808" spans="1:20">
      <c r="A808" s="182">
        <v>44179</v>
      </c>
      <c r="B808" s="183">
        <v>0.47862268518518519</v>
      </c>
      <c r="C808" s="184" t="s">
        <v>67</v>
      </c>
      <c r="D808" s="184" t="s">
        <v>68</v>
      </c>
      <c r="E808" s="184" t="s">
        <v>96</v>
      </c>
      <c r="F808" s="182">
        <v>44208</v>
      </c>
      <c r="G808" s="186" t="s">
        <v>94</v>
      </c>
      <c r="H808" s="184" t="s">
        <v>117</v>
      </c>
      <c r="T808" s="184" t="s">
        <v>450</v>
      </c>
    </row>
    <row r="809" spans="1:20">
      <c r="A809" s="182">
        <v>44180</v>
      </c>
      <c r="B809" s="183">
        <v>0.62596064814814811</v>
      </c>
      <c r="C809" s="184" t="s">
        <v>67</v>
      </c>
      <c r="D809" s="184" t="s">
        <v>68</v>
      </c>
      <c r="E809" s="184" t="s">
        <v>19</v>
      </c>
      <c r="F809" s="182">
        <v>44168</v>
      </c>
      <c r="G809" s="186" t="s">
        <v>160</v>
      </c>
      <c r="H809" s="184" t="s">
        <v>190</v>
      </c>
      <c r="T809" s="184" t="s">
        <v>451</v>
      </c>
    </row>
    <row r="810" spans="1:20">
      <c r="A810" s="182">
        <v>44181</v>
      </c>
      <c r="B810" s="183">
        <v>0.67987268518518518</v>
      </c>
      <c r="C810" s="184" t="s">
        <v>73</v>
      </c>
      <c r="D810" s="184" t="s">
        <v>68</v>
      </c>
      <c r="E810" s="184" t="s">
        <v>96</v>
      </c>
      <c r="F810" s="182">
        <v>44208</v>
      </c>
      <c r="G810" s="186" t="s">
        <v>94</v>
      </c>
      <c r="H810" s="184" t="s">
        <v>259</v>
      </c>
      <c r="T810" s="184" t="s">
        <v>452</v>
      </c>
    </row>
    <row r="811" spans="1:20">
      <c r="A811" s="182">
        <v>44182</v>
      </c>
      <c r="B811" s="183">
        <v>0.39815972222222223</v>
      </c>
      <c r="C811" s="184" t="s">
        <v>67</v>
      </c>
      <c r="D811" s="184" t="s">
        <v>68</v>
      </c>
      <c r="E811" s="184" t="s">
        <v>96</v>
      </c>
      <c r="F811" s="182">
        <v>44208</v>
      </c>
      <c r="G811" s="186" t="s">
        <v>99</v>
      </c>
      <c r="H811" s="184" t="s">
        <v>117</v>
      </c>
      <c r="T811" s="184" t="s">
        <v>453</v>
      </c>
    </row>
    <row r="812" spans="1:20">
      <c r="A812" s="182">
        <v>44183</v>
      </c>
      <c r="B812" s="183">
        <v>0.42643518518518514</v>
      </c>
      <c r="C812" s="184" t="s">
        <v>67</v>
      </c>
      <c r="D812" s="184" t="s">
        <v>68</v>
      </c>
      <c r="E812" s="184" t="s">
        <v>19</v>
      </c>
      <c r="F812" s="182">
        <v>44236</v>
      </c>
      <c r="G812" s="186" t="s">
        <v>115</v>
      </c>
      <c r="H812" s="184" t="s">
        <v>71</v>
      </c>
      <c r="T812" s="184" t="s">
        <v>118</v>
      </c>
    </row>
    <row r="813" spans="1:20">
      <c r="A813" s="182">
        <v>44183</v>
      </c>
      <c r="B813" s="183">
        <v>0.64435185185185184</v>
      </c>
      <c r="C813" s="184" t="s">
        <v>73</v>
      </c>
      <c r="D813" s="184" t="s">
        <v>68</v>
      </c>
      <c r="E813" s="184" t="s">
        <v>96</v>
      </c>
      <c r="F813" s="182">
        <v>44208</v>
      </c>
      <c r="G813" s="186" t="s">
        <v>94</v>
      </c>
      <c r="H813" s="184" t="s">
        <v>259</v>
      </c>
      <c r="T813" s="184" t="s">
        <v>454</v>
      </c>
    </row>
    <row r="814" spans="1:20">
      <c r="A814" s="182">
        <v>44183</v>
      </c>
      <c r="B814" s="183">
        <v>0.6899074074074073</v>
      </c>
      <c r="C814" s="184" t="s">
        <v>73</v>
      </c>
      <c r="D814" s="184" t="s">
        <v>68</v>
      </c>
      <c r="E814" s="184" t="s">
        <v>96</v>
      </c>
      <c r="F814" s="182">
        <v>44208</v>
      </c>
      <c r="G814" s="186" t="s">
        <v>114</v>
      </c>
      <c r="H814" s="184" t="s">
        <v>261</v>
      </c>
      <c r="T814" s="184" t="s">
        <v>455</v>
      </c>
    </row>
    <row r="815" spans="1:20">
      <c r="A815" s="182">
        <v>44186</v>
      </c>
      <c r="B815" s="183">
        <v>0.39174768518518516</v>
      </c>
      <c r="C815" s="184" t="s">
        <v>73</v>
      </c>
      <c r="D815" s="184" t="s">
        <v>159</v>
      </c>
      <c r="E815" s="184" t="s">
        <v>96</v>
      </c>
      <c r="F815" s="182">
        <v>44208</v>
      </c>
      <c r="G815" s="186" t="s">
        <v>70</v>
      </c>
      <c r="H815" s="184" t="s">
        <v>216</v>
      </c>
    </row>
    <row r="816" spans="1:20">
      <c r="A816" s="182">
        <v>44187</v>
      </c>
      <c r="B816" s="183">
        <v>0.70960648148148142</v>
      </c>
      <c r="C816" s="184" t="s">
        <v>67</v>
      </c>
      <c r="D816" s="184" t="s">
        <v>68</v>
      </c>
      <c r="E816" s="184" t="s">
        <v>96</v>
      </c>
      <c r="F816" s="182">
        <v>44208</v>
      </c>
      <c r="G816" s="186" t="s">
        <v>94</v>
      </c>
      <c r="H816" s="184" t="s">
        <v>260</v>
      </c>
      <c r="T816" s="184" t="s">
        <v>456</v>
      </c>
    </row>
    <row r="817" spans="1:20">
      <c r="A817" s="182">
        <v>44188</v>
      </c>
      <c r="B817" s="183">
        <v>0.50293981481481487</v>
      </c>
      <c r="C817" s="184" t="s">
        <v>73</v>
      </c>
      <c r="D817" s="184" t="s">
        <v>68</v>
      </c>
      <c r="E817" s="184" t="s">
        <v>96</v>
      </c>
      <c r="F817" s="182">
        <v>44271</v>
      </c>
      <c r="G817" s="186" t="s">
        <v>94</v>
      </c>
      <c r="H817" s="184" t="s">
        <v>76</v>
      </c>
      <c r="T817" s="184" t="s">
        <v>457</v>
      </c>
    </row>
    <row r="818" spans="1:20">
      <c r="A818" s="182">
        <v>44190</v>
      </c>
      <c r="B818" s="183">
        <v>0.47509259259259262</v>
      </c>
      <c r="C818" s="184" t="s">
        <v>67</v>
      </c>
      <c r="D818" s="184" t="s">
        <v>68</v>
      </c>
      <c r="E818" s="184" t="s">
        <v>96</v>
      </c>
      <c r="F818" s="182">
        <v>44208</v>
      </c>
      <c r="G818" s="186" t="s">
        <v>99</v>
      </c>
      <c r="H818" s="184" t="s">
        <v>261</v>
      </c>
      <c r="T818" s="184" t="s">
        <v>458</v>
      </c>
    </row>
    <row r="819" spans="1:20">
      <c r="A819" s="182">
        <v>44193</v>
      </c>
      <c r="B819" s="183">
        <v>0.62289351851851849</v>
      </c>
      <c r="C819" s="184" t="s">
        <v>67</v>
      </c>
      <c r="D819" s="184" t="s">
        <v>91</v>
      </c>
      <c r="E819" s="184" t="s">
        <v>96</v>
      </c>
      <c r="F819" s="182">
        <v>44271</v>
      </c>
      <c r="G819" s="186" t="s">
        <v>94</v>
      </c>
      <c r="H819" s="184" t="s">
        <v>285</v>
      </c>
    </row>
    <row r="820" spans="1:20">
      <c r="A820" s="182">
        <v>44201</v>
      </c>
      <c r="B820" s="183">
        <v>0.68461805555555555</v>
      </c>
      <c r="C820" s="184" t="s">
        <v>67</v>
      </c>
      <c r="D820" s="184" t="s">
        <v>68</v>
      </c>
      <c r="E820" s="184" t="s">
        <v>19</v>
      </c>
      <c r="F820" s="182">
        <v>44236</v>
      </c>
      <c r="G820" s="186" t="s">
        <v>99</v>
      </c>
      <c r="H820" s="184" t="s">
        <v>222</v>
      </c>
      <c r="T820" s="184" t="s">
        <v>459</v>
      </c>
    </row>
    <row r="821" spans="1:20">
      <c r="A821" s="182">
        <v>44202</v>
      </c>
      <c r="B821" s="183">
        <v>0.65296296296296297</v>
      </c>
      <c r="C821" s="184" t="s">
        <v>67</v>
      </c>
      <c r="D821" s="184" t="s">
        <v>68</v>
      </c>
      <c r="E821" s="184" t="s">
        <v>96</v>
      </c>
      <c r="F821" s="182">
        <v>44271</v>
      </c>
      <c r="G821" s="186" t="s">
        <v>114</v>
      </c>
      <c r="H821" s="184" t="s">
        <v>101</v>
      </c>
      <c r="T821" s="184" t="s">
        <v>203</v>
      </c>
    </row>
    <row r="822" spans="1:20">
      <c r="A822" s="182">
        <v>44202</v>
      </c>
      <c r="B822" s="183">
        <v>0.68346064814814822</v>
      </c>
      <c r="C822" s="184" t="s">
        <v>73</v>
      </c>
      <c r="D822" s="184" t="s">
        <v>68</v>
      </c>
      <c r="E822" s="184" t="s">
        <v>69</v>
      </c>
      <c r="F822" s="182">
        <v>44252</v>
      </c>
      <c r="G822" s="186" t="s">
        <v>94</v>
      </c>
      <c r="H822" s="184" t="s">
        <v>76</v>
      </c>
      <c r="T822" s="184" t="s">
        <v>138</v>
      </c>
    </row>
    <row r="823" spans="1:20">
      <c r="A823" s="182">
        <v>44204</v>
      </c>
      <c r="B823" s="183">
        <v>0.39651620370370372</v>
      </c>
      <c r="C823" s="184" t="s">
        <v>67</v>
      </c>
      <c r="D823" s="184" t="s">
        <v>68</v>
      </c>
      <c r="E823" s="184" t="s">
        <v>96</v>
      </c>
      <c r="F823" s="182">
        <v>44271</v>
      </c>
      <c r="G823" s="186" t="s">
        <v>460</v>
      </c>
      <c r="H823" s="184" t="s">
        <v>322</v>
      </c>
      <c r="T823" s="184" t="s">
        <v>147</v>
      </c>
    </row>
    <row r="824" spans="1:20">
      <c r="A824" s="182">
        <v>44208</v>
      </c>
      <c r="B824" s="183">
        <v>0.54956018518518512</v>
      </c>
      <c r="C824" s="184" t="s">
        <v>67</v>
      </c>
      <c r="D824" s="184" t="s">
        <v>68</v>
      </c>
      <c r="E824" s="184" t="s">
        <v>96</v>
      </c>
      <c r="F824" s="182">
        <v>44271</v>
      </c>
      <c r="G824" s="186" t="s">
        <v>264</v>
      </c>
      <c r="H824" s="184" t="s">
        <v>272</v>
      </c>
      <c r="T824" s="184" t="s">
        <v>147</v>
      </c>
    </row>
    <row r="825" spans="1:20">
      <c r="A825" s="182">
        <v>44211</v>
      </c>
      <c r="B825" s="183">
        <v>0.65006944444444448</v>
      </c>
      <c r="C825" s="184" t="s">
        <v>67</v>
      </c>
      <c r="D825" s="184" t="s">
        <v>68</v>
      </c>
      <c r="E825" s="184" t="s">
        <v>96</v>
      </c>
      <c r="F825" s="182">
        <v>44271</v>
      </c>
      <c r="G825" s="186" t="s">
        <v>94</v>
      </c>
      <c r="H825" s="184" t="s">
        <v>213</v>
      </c>
      <c r="T825" s="184" t="s">
        <v>110</v>
      </c>
    </row>
    <row r="826" spans="1:20">
      <c r="A826" s="182">
        <v>44214</v>
      </c>
      <c r="B826" s="183">
        <v>0.47098379629629633</v>
      </c>
      <c r="C826" s="184" t="s">
        <v>73</v>
      </c>
      <c r="D826" s="184" t="s">
        <v>68</v>
      </c>
      <c r="E826" s="184" t="s">
        <v>96</v>
      </c>
      <c r="F826" s="182">
        <v>44271</v>
      </c>
      <c r="G826" s="186" t="s">
        <v>94</v>
      </c>
      <c r="H826" s="184" t="s">
        <v>225</v>
      </c>
      <c r="T826" s="184" t="s">
        <v>461</v>
      </c>
    </row>
    <row r="827" spans="1:20">
      <c r="A827" s="182">
        <v>44214</v>
      </c>
      <c r="B827" s="183">
        <v>0.54074074074074074</v>
      </c>
      <c r="C827" s="184" t="s">
        <v>73</v>
      </c>
      <c r="D827" s="184" t="s">
        <v>68</v>
      </c>
      <c r="E827" s="184" t="s">
        <v>96</v>
      </c>
      <c r="F827" s="182">
        <v>44271</v>
      </c>
      <c r="G827" s="186" t="s">
        <v>94</v>
      </c>
      <c r="H827" s="184" t="s">
        <v>231</v>
      </c>
      <c r="T827" s="184" t="s">
        <v>462</v>
      </c>
    </row>
    <row r="828" spans="1:20">
      <c r="A828" s="182">
        <v>44215</v>
      </c>
      <c r="B828" s="183">
        <v>0.46943287037037035</v>
      </c>
      <c r="C828" s="184" t="s">
        <v>67</v>
      </c>
      <c r="D828" s="184" t="s">
        <v>159</v>
      </c>
      <c r="E828" s="184" t="s">
        <v>96</v>
      </c>
      <c r="F828" s="182">
        <v>44271</v>
      </c>
      <c r="G828" s="186" t="s">
        <v>75</v>
      </c>
      <c r="H828" s="184" t="s">
        <v>215</v>
      </c>
    </row>
    <row r="829" spans="1:20">
      <c r="A829" s="182">
        <v>44217</v>
      </c>
      <c r="B829" s="183">
        <v>0.38004629629629627</v>
      </c>
      <c r="C829" s="184" t="s">
        <v>67</v>
      </c>
      <c r="D829" s="184" t="s">
        <v>68</v>
      </c>
      <c r="E829" s="184" t="s">
        <v>96</v>
      </c>
      <c r="F829" s="182">
        <v>44271</v>
      </c>
      <c r="G829" s="186" t="s">
        <v>463</v>
      </c>
      <c r="H829" s="184" t="s">
        <v>117</v>
      </c>
      <c r="T829" s="184" t="s">
        <v>147</v>
      </c>
    </row>
    <row r="830" spans="1:20">
      <c r="A830" s="182">
        <v>44217</v>
      </c>
      <c r="B830" s="183">
        <v>0.38039351851851855</v>
      </c>
      <c r="C830" s="184" t="s">
        <v>67</v>
      </c>
      <c r="D830" s="184" t="s">
        <v>68</v>
      </c>
      <c r="E830" s="184" t="s">
        <v>96</v>
      </c>
      <c r="F830" s="182">
        <v>44271</v>
      </c>
      <c r="G830" s="186" t="s">
        <v>464</v>
      </c>
      <c r="H830" s="184" t="s">
        <v>231</v>
      </c>
      <c r="T830" s="184" t="s">
        <v>147</v>
      </c>
    </row>
    <row r="831" spans="1:20">
      <c r="A831" s="182">
        <v>44217</v>
      </c>
      <c r="B831" s="183">
        <v>0.38149305555555557</v>
      </c>
      <c r="C831" s="184" t="s">
        <v>67</v>
      </c>
      <c r="D831" s="184" t="s">
        <v>68</v>
      </c>
      <c r="E831" s="184" t="s">
        <v>96</v>
      </c>
      <c r="F831" s="182">
        <v>44271</v>
      </c>
      <c r="G831" s="186" t="s">
        <v>99</v>
      </c>
      <c r="H831" s="184" t="s">
        <v>225</v>
      </c>
    </row>
    <row r="832" spans="1:20">
      <c r="A832" s="182">
        <v>44217</v>
      </c>
      <c r="B832" s="183">
        <v>0.38210648148148146</v>
      </c>
      <c r="C832" s="184" t="s">
        <v>67</v>
      </c>
      <c r="D832" s="184" t="s">
        <v>68</v>
      </c>
      <c r="E832" s="184" t="s">
        <v>96</v>
      </c>
      <c r="F832" s="182">
        <v>44271</v>
      </c>
      <c r="G832" s="186" t="s">
        <v>94</v>
      </c>
      <c r="H832" s="184" t="s">
        <v>231</v>
      </c>
    </row>
    <row r="833" spans="1:20">
      <c r="A833" s="182">
        <v>44218</v>
      </c>
      <c r="B833" s="183">
        <v>0.60065972222222219</v>
      </c>
      <c r="C833" s="184" t="s">
        <v>73</v>
      </c>
      <c r="D833" s="184" t="s">
        <v>91</v>
      </c>
      <c r="E833" s="184" t="s">
        <v>96</v>
      </c>
      <c r="F833" s="182">
        <v>44271</v>
      </c>
      <c r="G833" s="186" t="s">
        <v>94</v>
      </c>
      <c r="H833" s="184" t="s">
        <v>120</v>
      </c>
    </row>
    <row r="834" spans="1:20">
      <c r="A834" s="182">
        <v>44222</v>
      </c>
      <c r="B834" s="183">
        <v>0.43671296296296297</v>
      </c>
      <c r="C834" s="184" t="s">
        <v>73</v>
      </c>
      <c r="D834" s="184" t="s">
        <v>91</v>
      </c>
      <c r="E834" s="184" t="s">
        <v>96</v>
      </c>
      <c r="F834" s="182">
        <v>44271</v>
      </c>
      <c r="G834" s="186" t="s">
        <v>114</v>
      </c>
      <c r="H834" s="184" t="s">
        <v>189</v>
      </c>
    </row>
    <row r="835" spans="1:20">
      <c r="A835" s="182">
        <v>44224</v>
      </c>
      <c r="B835" s="183">
        <v>0.40243055555555557</v>
      </c>
      <c r="C835" s="184" t="s">
        <v>67</v>
      </c>
      <c r="D835" s="184" t="s">
        <v>68</v>
      </c>
      <c r="E835" s="184" t="s">
        <v>96</v>
      </c>
      <c r="F835" s="182">
        <v>44271</v>
      </c>
      <c r="G835" s="186" t="s">
        <v>465</v>
      </c>
      <c r="H835" s="184" t="s">
        <v>182</v>
      </c>
      <c r="T835" s="184" t="s">
        <v>147</v>
      </c>
    </row>
    <row r="836" spans="1:20">
      <c r="A836" s="182">
        <v>44225</v>
      </c>
      <c r="B836" s="183">
        <v>0.46792824074074074</v>
      </c>
      <c r="C836" s="184" t="s">
        <v>73</v>
      </c>
      <c r="D836" s="184" t="s">
        <v>68</v>
      </c>
      <c r="E836" s="184" t="s">
        <v>96</v>
      </c>
      <c r="F836" s="182">
        <v>44271</v>
      </c>
      <c r="G836" s="186" t="s">
        <v>99</v>
      </c>
      <c r="H836" s="184" t="s">
        <v>103</v>
      </c>
      <c r="T836" s="184" t="s">
        <v>461</v>
      </c>
    </row>
    <row r="837" spans="1:20">
      <c r="A837" s="182">
        <v>44225</v>
      </c>
      <c r="B837" s="183">
        <v>0.59662037037037041</v>
      </c>
      <c r="C837" s="184" t="s">
        <v>67</v>
      </c>
      <c r="D837" s="184" t="s">
        <v>68</v>
      </c>
      <c r="E837" s="184" t="s">
        <v>69</v>
      </c>
      <c r="F837" s="182">
        <v>44252</v>
      </c>
      <c r="G837" s="186" t="s">
        <v>115</v>
      </c>
      <c r="H837" s="184" t="s">
        <v>222</v>
      </c>
      <c r="T837" s="184" t="s">
        <v>466</v>
      </c>
    </row>
    <row r="838" spans="1:20">
      <c r="A838" s="182">
        <v>44228</v>
      </c>
      <c r="B838" s="183">
        <v>0.56944444444444442</v>
      </c>
      <c r="C838" s="184" t="s">
        <v>73</v>
      </c>
      <c r="D838" s="184" t="s">
        <v>78</v>
      </c>
      <c r="E838" s="184" t="s">
        <v>96</v>
      </c>
      <c r="F838" s="182">
        <v>44271</v>
      </c>
      <c r="G838" s="186" t="s">
        <v>94</v>
      </c>
      <c r="H838" s="184" t="s">
        <v>107</v>
      </c>
    </row>
    <row r="839" spans="1:20">
      <c r="A839" s="182">
        <v>44229</v>
      </c>
      <c r="B839" s="183">
        <v>0.49692129629629633</v>
      </c>
      <c r="C839" s="184" t="s">
        <v>67</v>
      </c>
      <c r="D839" s="184" t="s">
        <v>68</v>
      </c>
      <c r="E839" s="184" t="s">
        <v>96</v>
      </c>
      <c r="F839" s="182">
        <v>44271</v>
      </c>
      <c r="G839" s="186" t="s">
        <v>94</v>
      </c>
      <c r="H839" s="184" t="s">
        <v>182</v>
      </c>
      <c r="T839" s="184" t="s">
        <v>467</v>
      </c>
    </row>
    <row r="840" spans="1:20">
      <c r="A840" s="182">
        <v>44236</v>
      </c>
      <c r="B840" s="183">
        <v>0.67495370370370367</v>
      </c>
      <c r="C840" s="184" t="s">
        <v>67</v>
      </c>
      <c r="D840" s="184" t="s">
        <v>68</v>
      </c>
      <c r="E840" s="184" t="s">
        <v>96</v>
      </c>
      <c r="F840" s="182">
        <v>44271</v>
      </c>
      <c r="G840" s="186" t="s">
        <v>94</v>
      </c>
      <c r="H840" s="184" t="s">
        <v>117</v>
      </c>
      <c r="T840" s="184" t="s">
        <v>110</v>
      </c>
    </row>
    <row r="841" spans="1:20">
      <c r="A841" s="182">
        <v>44237</v>
      </c>
      <c r="B841" s="183">
        <v>0.61297453703703708</v>
      </c>
      <c r="C841" s="184" t="s">
        <v>73</v>
      </c>
      <c r="D841" s="184" t="s">
        <v>68</v>
      </c>
      <c r="E841" s="184" t="s">
        <v>96</v>
      </c>
      <c r="F841" s="182">
        <v>44271</v>
      </c>
      <c r="G841" s="186" t="s">
        <v>94</v>
      </c>
      <c r="H841" s="184" t="s">
        <v>259</v>
      </c>
      <c r="T841" s="184" t="s">
        <v>468</v>
      </c>
    </row>
    <row r="842" spans="1:20">
      <c r="A842" s="182">
        <v>44239</v>
      </c>
      <c r="B842" s="183">
        <v>0.57032407407407404</v>
      </c>
      <c r="C842" s="184" t="s">
        <v>73</v>
      </c>
      <c r="D842" s="184" t="s">
        <v>78</v>
      </c>
      <c r="E842" s="184" t="s">
        <v>96</v>
      </c>
      <c r="F842" s="182">
        <v>44271</v>
      </c>
      <c r="G842" s="186" t="s">
        <v>94</v>
      </c>
      <c r="H842" s="184" t="s">
        <v>106</v>
      </c>
    </row>
    <row r="843" spans="1:20">
      <c r="A843" s="182">
        <v>44239</v>
      </c>
      <c r="B843" s="183">
        <v>0.58297453703703705</v>
      </c>
      <c r="C843" s="184" t="s">
        <v>73</v>
      </c>
      <c r="D843" s="184" t="s">
        <v>68</v>
      </c>
      <c r="E843" s="184" t="s">
        <v>96</v>
      </c>
      <c r="F843" s="182">
        <v>44271</v>
      </c>
      <c r="G843" s="186" t="s">
        <v>94</v>
      </c>
      <c r="H843" s="184" t="s">
        <v>273</v>
      </c>
      <c r="T843" s="184" t="s">
        <v>469</v>
      </c>
    </row>
    <row r="844" spans="1:20">
      <c r="A844" s="182">
        <v>44239</v>
      </c>
      <c r="B844" s="183">
        <v>0.58921296296296299</v>
      </c>
      <c r="C844" s="184" t="s">
        <v>73</v>
      </c>
      <c r="D844" s="184" t="s">
        <v>68</v>
      </c>
      <c r="E844" s="184" t="s">
        <v>96</v>
      </c>
      <c r="F844" s="182">
        <v>44271</v>
      </c>
      <c r="G844" s="186" t="s">
        <v>94</v>
      </c>
      <c r="H844" s="184" t="s">
        <v>261</v>
      </c>
      <c r="T844" s="184" t="s">
        <v>470</v>
      </c>
    </row>
    <row r="845" spans="1:20">
      <c r="A845" s="182">
        <v>44239</v>
      </c>
      <c r="B845" s="183">
        <v>0.6086111111111111</v>
      </c>
      <c r="C845" s="184" t="s">
        <v>73</v>
      </c>
      <c r="D845" s="184" t="s">
        <v>68</v>
      </c>
      <c r="E845" s="184" t="s">
        <v>96</v>
      </c>
      <c r="F845" s="182">
        <v>44271</v>
      </c>
      <c r="G845" s="186" t="s">
        <v>94</v>
      </c>
      <c r="H845" s="184" t="s">
        <v>260</v>
      </c>
      <c r="T845" s="184" t="s">
        <v>471</v>
      </c>
    </row>
    <row r="846" spans="1:20">
      <c r="A846" s="182">
        <v>44242</v>
      </c>
      <c r="B846" s="183">
        <v>0.49078703703703702</v>
      </c>
      <c r="C846" s="184" t="s">
        <v>73</v>
      </c>
      <c r="D846" s="184" t="s">
        <v>68</v>
      </c>
      <c r="E846" s="184" t="s">
        <v>96</v>
      </c>
      <c r="F846" s="182">
        <v>44271</v>
      </c>
      <c r="G846" s="186" t="s">
        <v>94</v>
      </c>
      <c r="H846" s="184" t="s">
        <v>256</v>
      </c>
      <c r="T846" s="184" t="s">
        <v>472</v>
      </c>
    </row>
    <row r="847" spans="1:20">
      <c r="A847" s="182">
        <v>44243</v>
      </c>
      <c r="B847" s="183">
        <v>0.49362268518518521</v>
      </c>
      <c r="C847" s="184" t="s">
        <v>67</v>
      </c>
      <c r="D847" s="184" t="s">
        <v>91</v>
      </c>
      <c r="E847" s="184" t="s">
        <v>96</v>
      </c>
      <c r="F847" s="182">
        <v>44271</v>
      </c>
      <c r="G847" s="186" t="s">
        <v>99</v>
      </c>
      <c r="H847" s="184" t="s">
        <v>229</v>
      </c>
    </row>
    <row r="848" spans="1:20">
      <c r="A848" s="182">
        <v>44244</v>
      </c>
      <c r="B848" s="183">
        <v>0.55238425925925927</v>
      </c>
      <c r="C848" s="184" t="s">
        <v>67</v>
      </c>
      <c r="D848" s="184" t="s">
        <v>91</v>
      </c>
      <c r="E848" s="184" t="s">
        <v>96</v>
      </c>
      <c r="F848" s="182">
        <v>44271</v>
      </c>
      <c r="G848" s="186" t="s">
        <v>94</v>
      </c>
      <c r="H848" s="184" t="s">
        <v>189</v>
      </c>
    </row>
    <row r="849" spans="1:20">
      <c r="A849" s="182">
        <v>44246</v>
      </c>
      <c r="B849" s="183">
        <v>0.54741898148148149</v>
      </c>
      <c r="C849" s="184" t="s">
        <v>73</v>
      </c>
      <c r="D849" s="184" t="s">
        <v>68</v>
      </c>
      <c r="E849" s="184" t="s">
        <v>96</v>
      </c>
      <c r="F849" s="182">
        <v>44271</v>
      </c>
      <c r="G849" s="186" t="s">
        <v>94</v>
      </c>
      <c r="H849" s="184" t="s">
        <v>305</v>
      </c>
      <c r="T849" s="184" t="s">
        <v>473</v>
      </c>
    </row>
    <row r="850" spans="1:20">
      <c r="A850" s="182">
        <v>44246</v>
      </c>
      <c r="B850" s="183">
        <v>0.57241898148148151</v>
      </c>
      <c r="C850" s="184" t="s">
        <v>73</v>
      </c>
      <c r="D850" s="184" t="s">
        <v>78</v>
      </c>
      <c r="E850" s="184" t="s">
        <v>96</v>
      </c>
      <c r="F850" s="182">
        <v>44271</v>
      </c>
      <c r="G850" s="186" t="s">
        <v>114</v>
      </c>
      <c r="H850" s="184" t="s">
        <v>265</v>
      </c>
    </row>
    <row r="851" spans="1:20">
      <c r="A851" s="182">
        <v>44246</v>
      </c>
      <c r="B851" s="183">
        <v>0.70238425925925929</v>
      </c>
      <c r="C851" s="184" t="s">
        <v>73</v>
      </c>
      <c r="D851" s="184" t="s">
        <v>68</v>
      </c>
      <c r="E851" s="184" t="s">
        <v>96</v>
      </c>
      <c r="F851" s="182">
        <v>44271</v>
      </c>
      <c r="G851" s="186" t="s">
        <v>114</v>
      </c>
      <c r="H851" s="184" t="s">
        <v>185</v>
      </c>
      <c r="T851" s="184" t="s">
        <v>474</v>
      </c>
    </row>
    <row r="852" spans="1:20">
      <c r="A852" s="182">
        <v>44249</v>
      </c>
      <c r="B852" s="183">
        <v>0.62642361111111111</v>
      </c>
      <c r="C852" s="184" t="s">
        <v>73</v>
      </c>
      <c r="D852" s="184" t="s">
        <v>91</v>
      </c>
      <c r="E852" s="184" t="s">
        <v>96</v>
      </c>
      <c r="F852" s="182">
        <v>44271</v>
      </c>
      <c r="G852" s="186" t="s">
        <v>99</v>
      </c>
      <c r="H852" s="184" t="s">
        <v>229</v>
      </c>
    </row>
    <row r="853" spans="1:20">
      <c r="A853" s="182">
        <v>44252</v>
      </c>
      <c r="B853" s="183">
        <v>0.54871527777777784</v>
      </c>
      <c r="C853" s="184" t="s">
        <v>67</v>
      </c>
      <c r="D853" s="184" t="s">
        <v>68</v>
      </c>
      <c r="E853" s="184" t="s">
        <v>96</v>
      </c>
      <c r="F853" s="182">
        <v>44271</v>
      </c>
      <c r="G853" s="186" t="s">
        <v>94</v>
      </c>
      <c r="H853" s="184" t="s">
        <v>308</v>
      </c>
      <c r="T853" s="184" t="s">
        <v>475</v>
      </c>
    </row>
    <row r="854" spans="1:20">
      <c r="A854" s="182">
        <v>44253</v>
      </c>
      <c r="B854" s="183">
        <v>0.41431712962962958</v>
      </c>
      <c r="C854" s="184" t="s">
        <v>73</v>
      </c>
      <c r="D854" s="184" t="s">
        <v>78</v>
      </c>
      <c r="E854" s="184" t="s">
        <v>96</v>
      </c>
      <c r="F854" s="182">
        <v>44271</v>
      </c>
      <c r="G854" s="186" t="s">
        <v>94</v>
      </c>
      <c r="H854" s="184" t="s">
        <v>288</v>
      </c>
    </row>
    <row r="855" spans="1:20">
      <c r="A855" s="182">
        <v>44260</v>
      </c>
      <c r="B855" s="183">
        <v>0.46994212962962961</v>
      </c>
      <c r="C855" s="184" t="s">
        <v>73</v>
      </c>
      <c r="D855" s="184" t="s">
        <v>78</v>
      </c>
      <c r="E855" s="184" t="s">
        <v>96</v>
      </c>
      <c r="F855" s="182">
        <v>44271</v>
      </c>
      <c r="G855" s="186" t="s">
        <v>99</v>
      </c>
      <c r="H855" s="184" t="s">
        <v>265</v>
      </c>
    </row>
    <row r="856" spans="1:20">
      <c r="A856" s="182">
        <v>44260</v>
      </c>
      <c r="B856" s="183">
        <v>0.58872685185185192</v>
      </c>
      <c r="C856" s="184" t="s">
        <v>73</v>
      </c>
      <c r="D856" s="184" t="s">
        <v>68</v>
      </c>
      <c r="E856" s="184" t="s">
        <v>96</v>
      </c>
      <c r="F856" s="182">
        <v>44271</v>
      </c>
      <c r="G856" s="186" t="s">
        <v>94</v>
      </c>
      <c r="H856" s="184" t="s">
        <v>190</v>
      </c>
      <c r="T856" s="184" t="s">
        <v>122</v>
      </c>
    </row>
    <row r="857" spans="1:20">
      <c r="A857" s="182">
        <v>44260</v>
      </c>
      <c r="B857" s="183">
        <v>0.62820601851851854</v>
      </c>
      <c r="C857" s="184" t="s">
        <v>73</v>
      </c>
      <c r="D857" s="184" t="s">
        <v>68</v>
      </c>
      <c r="E857" s="184" t="s">
        <v>96</v>
      </c>
      <c r="F857" s="182">
        <v>44271</v>
      </c>
      <c r="G857" s="186" t="s">
        <v>99</v>
      </c>
      <c r="H857" s="184" t="s">
        <v>308</v>
      </c>
      <c r="T857" s="184" t="s">
        <v>221</v>
      </c>
    </row>
    <row r="858" spans="1:20">
      <c r="A858" s="182">
        <v>44263</v>
      </c>
      <c r="B858" s="183">
        <v>0.39983796296296298</v>
      </c>
      <c r="C858" s="184" t="s">
        <v>73</v>
      </c>
      <c r="D858" s="184" t="s">
        <v>68</v>
      </c>
      <c r="E858" s="184" t="s">
        <v>96</v>
      </c>
      <c r="F858" s="182">
        <v>44271</v>
      </c>
      <c r="G858" s="186" t="s">
        <v>94</v>
      </c>
      <c r="H858" s="184" t="s">
        <v>190</v>
      </c>
      <c r="T858" s="184" t="s">
        <v>476</v>
      </c>
    </row>
    <row r="859" spans="1:20">
      <c r="A859" s="182">
        <v>44263</v>
      </c>
      <c r="B859" s="183">
        <v>0.43708333333333332</v>
      </c>
      <c r="C859" s="184" t="s">
        <v>73</v>
      </c>
      <c r="D859" s="184" t="s">
        <v>68</v>
      </c>
      <c r="E859" s="184" t="s">
        <v>96</v>
      </c>
      <c r="F859" s="182">
        <v>44271</v>
      </c>
      <c r="G859" s="186" t="s">
        <v>99</v>
      </c>
      <c r="H859" s="184" t="s">
        <v>308</v>
      </c>
      <c r="T859" s="184" t="s">
        <v>123</v>
      </c>
    </row>
    <row r="860" spans="1:20">
      <c r="A860" s="182">
        <v>44266</v>
      </c>
      <c r="B860" s="183">
        <v>0.38843749999999999</v>
      </c>
      <c r="C860" s="184" t="s">
        <v>67</v>
      </c>
      <c r="D860" s="184" t="s">
        <v>68</v>
      </c>
      <c r="E860" s="184" t="s">
        <v>96</v>
      </c>
      <c r="F860" s="182">
        <v>44271</v>
      </c>
      <c r="G860" s="186" t="s">
        <v>94</v>
      </c>
      <c r="H860" s="184" t="s">
        <v>190</v>
      </c>
      <c r="T860" s="184" t="s">
        <v>477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E4038-190B-46F0-AD6B-620B551C9647}">
  <sheetPr codeName="Sheet10">
    <pageSetUpPr fitToPage="1"/>
  </sheetPr>
  <dimension ref="A1:BP56"/>
  <sheetViews>
    <sheetView showGridLines="0" zoomScale="70" zoomScaleNormal="70" workbookViewId="0">
      <pane xSplit="9" ySplit="4" topLeftCell="J5" activePane="bottomRight" state="frozen"/>
      <selection activeCell="K19" sqref="K19"/>
      <selection pane="topRight" activeCell="K19" sqref="K19"/>
      <selection pane="bottomLeft" activeCell="K19" sqref="K19"/>
      <selection pane="bottomRight" activeCell="K19" sqref="K19"/>
    </sheetView>
  </sheetViews>
  <sheetFormatPr defaultColWidth="8.25" defaultRowHeight="14"/>
  <cols>
    <col min="1" max="1" width="3.33203125" style="2" customWidth="1"/>
    <col min="2" max="2" width="11.33203125" style="2" customWidth="1"/>
    <col min="3" max="3" width="9.75" style="2" hidden="1" customWidth="1"/>
    <col min="4" max="4" width="9.25" style="2" bestFit="1" customWidth="1"/>
    <col min="5" max="5" width="6.08203125" style="2" bestFit="1" customWidth="1"/>
    <col min="6" max="6" width="5" style="2" bestFit="1" customWidth="1"/>
    <col min="7" max="7" width="8.25" style="2"/>
    <col min="8" max="8" width="1.5" style="2" customWidth="1"/>
    <col min="9" max="9" width="8.25" style="2"/>
    <col min="10" max="21" width="4.08203125" style="2" customWidth="1"/>
    <col min="22" max="22" width="10" style="2" bestFit="1" customWidth="1"/>
    <col min="23" max="23" width="16.58203125" style="2" customWidth="1"/>
    <col min="24" max="24" width="1" style="2" customWidth="1"/>
    <col min="25" max="25" width="14.83203125" style="2" customWidth="1"/>
    <col min="26" max="26" width="20.08203125" style="3" bestFit="1" customWidth="1"/>
    <col min="27" max="27" width="16.83203125" style="3" customWidth="1"/>
    <col min="28" max="28" width="8.25" style="2"/>
    <col min="29" max="29" width="9.25" style="2" bestFit="1" customWidth="1"/>
    <col min="30" max="16384" width="8.25" style="2"/>
  </cols>
  <sheetData>
    <row r="1" spans="2:27" ht="19">
      <c r="B1" s="1" t="s">
        <v>0</v>
      </c>
      <c r="C1" s="1"/>
    </row>
    <row r="2" spans="2:27" ht="20.25" customHeight="1" thickBot="1">
      <c r="B2" s="4" t="s">
        <v>1</v>
      </c>
      <c r="C2" s="4"/>
      <c r="F2" s="5" t="s">
        <v>2</v>
      </c>
    </row>
    <row r="3" spans="2:27" ht="19.5" customHeight="1">
      <c r="B3" s="6"/>
      <c r="C3" s="7"/>
      <c r="D3" s="8"/>
      <c r="E3" s="9" t="s">
        <v>3</v>
      </c>
      <c r="F3" s="10" t="s">
        <v>4</v>
      </c>
      <c r="G3" s="11" t="s">
        <v>5</v>
      </c>
      <c r="H3" s="12"/>
      <c r="I3" s="13" t="s">
        <v>6</v>
      </c>
      <c r="J3" s="341" t="s">
        <v>7</v>
      </c>
      <c r="K3" s="342"/>
      <c r="L3" s="343"/>
      <c r="M3" s="341" t="s">
        <v>8</v>
      </c>
      <c r="N3" s="342"/>
      <c r="O3" s="344"/>
      <c r="P3" s="341" t="s">
        <v>9</v>
      </c>
      <c r="Q3" s="342"/>
      <c r="R3" s="343"/>
      <c r="S3" s="341" t="s">
        <v>10</v>
      </c>
      <c r="T3" s="342"/>
      <c r="U3" s="343"/>
      <c r="V3" s="14" t="s">
        <v>11</v>
      </c>
      <c r="W3" s="14" t="s">
        <v>12</v>
      </c>
      <c r="Y3" s="15" t="s">
        <v>13</v>
      </c>
      <c r="Z3" s="16"/>
      <c r="AA3" s="16"/>
    </row>
    <row r="4" spans="2:27" ht="19.5" hidden="1" customHeight="1">
      <c r="B4" s="6"/>
      <c r="C4" s="7"/>
      <c r="D4" s="8"/>
      <c r="E4" s="17"/>
      <c r="F4" s="18"/>
      <c r="G4" s="19"/>
      <c r="H4" s="12"/>
      <c r="I4" s="20"/>
      <c r="J4" s="21" t="str">
        <f>J3</f>
        <v>飯塚</v>
      </c>
      <c r="K4" s="22" t="str">
        <f>J3</f>
        <v>飯塚</v>
      </c>
      <c r="L4" s="23" t="str">
        <f>J3</f>
        <v>飯塚</v>
      </c>
      <c r="M4" s="21" t="str">
        <f>M3</f>
        <v>田川</v>
      </c>
      <c r="N4" s="22" t="str">
        <f>M3</f>
        <v>田川</v>
      </c>
      <c r="O4" s="24" t="str">
        <f>M3</f>
        <v>田川</v>
      </c>
      <c r="P4" s="21" t="str">
        <f>P3</f>
        <v>直鞍</v>
      </c>
      <c r="Q4" s="22" t="str">
        <f>P3</f>
        <v>直鞍</v>
      </c>
      <c r="R4" s="23" t="str">
        <f>P3</f>
        <v>直鞍</v>
      </c>
      <c r="S4" s="21" t="str">
        <f>S3</f>
        <v>連合会</v>
      </c>
      <c r="T4" s="22" t="str">
        <f>S3</f>
        <v>連合会</v>
      </c>
      <c r="U4" s="23" t="str">
        <f>S3</f>
        <v>連合会</v>
      </c>
      <c r="V4" s="23"/>
      <c r="W4" s="23"/>
      <c r="Y4" s="25"/>
      <c r="Z4" s="26"/>
      <c r="AA4" s="27"/>
    </row>
    <row r="5" spans="2:27" ht="19.5" customHeight="1">
      <c r="B5" s="28"/>
      <c r="C5" s="29"/>
      <c r="D5" s="30"/>
      <c r="E5" s="31"/>
      <c r="F5" s="32"/>
      <c r="G5" s="33"/>
      <c r="H5" s="34"/>
      <c r="I5" s="35"/>
      <c r="J5" s="36" t="s">
        <v>14</v>
      </c>
      <c r="K5" s="31" t="s">
        <v>15</v>
      </c>
      <c r="L5" s="37" t="s">
        <v>16</v>
      </c>
      <c r="M5" s="36" t="s">
        <v>14</v>
      </c>
      <c r="N5" s="31" t="s">
        <v>15</v>
      </c>
      <c r="O5" s="37" t="s">
        <v>16</v>
      </c>
      <c r="P5" s="36" t="s">
        <v>14</v>
      </c>
      <c r="Q5" s="31" t="s">
        <v>15</v>
      </c>
      <c r="R5" s="37" t="s">
        <v>16</v>
      </c>
      <c r="S5" s="36" t="s">
        <v>14</v>
      </c>
      <c r="T5" s="31" t="s">
        <v>15</v>
      </c>
      <c r="U5" s="37" t="s">
        <v>16</v>
      </c>
      <c r="V5" s="38"/>
      <c r="W5" s="38"/>
      <c r="Y5" s="39"/>
      <c r="Z5" s="36" t="s">
        <v>17</v>
      </c>
      <c r="AA5" s="37" t="s">
        <v>18</v>
      </c>
    </row>
    <row r="6" spans="2:27" ht="19.5" customHeight="1">
      <c r="B6" s="345" t="s">
        <v>19</v>
      </c>
      <c r="C6" s="40" t="str">
        <f>B6</f>
        <v>玉掛</v>
      </c>
      <c r="D6" s="41">
        <v>44300</v>
      </c>
      <c r="E6" s="42" t="s">
        <v>7</v>
      </c>
      <c r="F6" s="203">
        <v>30</v>
      </c>
      <c r="G6" s="44">
        <f t="shared" ref="G6:G12" si="0">F6-I6</f>
        <v>4</v>
      </c>
      <c r="H6" s="45"/>
      <c r="I6" s="46">
        <f t="shared" ref="I6:I11" si="1">SUM(J6:U6)</f>
        <v>26</v>
      </c>
      <c r="J6" s="47">
        <f>2-1</f>
        <v>1</v>
      </c>
      <c r="K6" s="48">
        <f>1+1</f>
        <v>2</v>
      </c>
      <c r="L6" s="49">
        <f>1+1+1-1+1+2+1+1+2+1+3+1+1+2+2-2</f>
        <v>17</v>
      </c>
      <c r="M6" s="47">
        <f>1-1</f>
        <v>0</v>
      </c>
      <c r="N6" s="48">
        <v>1</v>
      </c>
      <c r="O6" s="49">
        <f>1-1+1+1+1+1-1</f>
        <v>3</v>
      </c>
      <c r="P6" s="47"/>
      <c r="Q6" s="48"/>
      <c r="R6" s="49">
        <f>1+3-2+1-1</f>
        <v>2</v>
      </c>
      <c r="S6" s="47"/>
      <c r="T6" s="48"/>
      <c r="U6" s="49"/>
      <c r="V6" s="50">
        <v>44301</v>
      </c>
      <c r="W6" s="50"/>
      <c r="Y6" s="51"/>
      <c r="Z6" s="52" t="s">
        <v>20</v>
      </c>
      <c r="AA6" s="53" t="s">
        <v>21</v>
      </c>
    </row>
    <row r="7" spans="2:27" ht="19.5" customHeight="1">
      <c r="B7" s="339"/>
      <c r="C7" s="54" t="str">
        <f>B6</f>
        <v>玉掛</v>
      </c>
      <c r="D7" s="55">
        <v>44368</v>
      </c>
      <c r="E7" s="42" t="s">
        <v>7</v>
      </c>
      <c r="F7" s="56">
        <v>40</v>
      </c>
      <c r="G7" s="44">
        <f t="shared" si="0"/>
        <v>1</v>
      </c>
      <c r="H7" s="45"/>
      <c r="I7" s="57">
        <f t="shared" si="1"/>
        <v>39</v>
      </c>
      <c r="J7" s="58">
        <f>1-1</f>
        <v>0</v>
      </c>
      <c r="K7" s="59">
        <f>1+1+1-1</f>
        <v>2</v>
      </c>
      <c r="L7" s="60">
        <f>1+1+1+1+1+3+1+3+1+1-1+2</f>
        <v>15</v>
      </c>
      <c r="M7" s="58">
        <f>1+1-1</f>
        <v>1</v>
      </c>
      <c r="N7" s="59">
        <v>6</v>
      </c>
      <c r="O7" s="60">
        <f>1+1+1+1+1-1-1+1</f>
        <v>4</v>
      </c>
      <c r="P7" s="58"/>
      <c r="Q7" s="59"/>
      <c r="R7" s="60">
        <f>3+1+1+2+1+1+2</f>
        <v>11</v>
      </c>
      <c r="S7" s="58"/>
      <c r="T7" s="59"/>
      <c r="U7" s="60"/>
      <c r="V7" s="61">
        <v>44368</v>
      </c>
      <c r="W7" s="61"/>
      <c r="Y7" s="51"/>
      <c r="Z7" s="52" t="s">
        <v>20</v>
      </c>
      <c r="AA7" s="53" t="s">
        <v>22</v>
      </c>
    </row>
    <row r="8" spans="2:27" ht="19.5" customHeight="1">
      <c r="B8" s="339"/>
      <c r="C8" s="54" t="str">
        <f>B6</f>
        <v>玉掛</v>
      </c>
      <c r="D8" s="41">
        <v>44460</v>
      </c>
      <c r="E8" s="42" t="s">
        <v>23</v>
      </c>
      <c r="F8" s="56">
        <v>30</v>
      </c>
      <c r="G8" s="44">
        <f t="shared" si="0"/>
        <v>0</v>
      </c>
      <c r="H8" s="45"/>
      <c r="I8" s="46">
        <f t="shared" si="1"/>
        <v>30</v>
      </c>
      <c r="J8" s="47">
        <v>1</v>
      </c>
      <c r="K8" s="48">
        <f>2-1+2-1+1</f>
        <v>3</v>
      </c>
      <c r="L8" s="49">
        <f>1+3</f>
        <v>4</v>
      </c>
      <c r="M8" s="47"/>
      <c r="N8" s="48"/>
      <c r="O8" s="49">
        <f>1-1+2+1</f>
        <v>3</v>
      </c>
      <c r="P8" s="47"/>
      <c r="Q8" s="48"/>
      <c r="R8" s="49">
        <f>1+1+4+2+1+1+2+1+2+1+1</f>
        <v>17</v>
      </c>
      <c r="S8" s="47"/>
      <c r="T8" s="48"/>
      <c r="U8" s="49">
        <f>3-1</f>
        <v>2</v>
      </c>
      <c r="V8" s="50">
        <v>44406</v>
      </c>
      <c r="W8" s="50" t="s">
        <v>611</v>
      </c>
      <c r="Y8" s="51"/>
      <c r="Z8" s="52" t="s">
        <v>24</v>
      </c>
      <c r="AA8" s="53"/>
    </row>
    <row r="9" spans="2:27" ht="19.5" customHeight="1">
      <c r="B9" s="339"/>
      <c r="C9" s="54" t="str">
        <f>B6</f>
        <v>玉掛</v>
      </c>
      <c r="D9" s="41">
        <v>44504</v>
      </c>
      <c r="E9" s="42" t="s">
        <v>7</v>
      </c>
      <c r="F9" s="56">
        <v>40</v>
      </c>
      <c r="G9" s="44">
        <f t="shared" si="0"/>
        <v>0</v>
      </c>
      <c r="H9" s="45"/>
      <c r="I9" s="46">
        <f t="shared" si="1"/>
        <v>40</v>
      </c>
      <c r="J9" s="47">
        <f>2-2</f>
        <v>0</v>
      </c>
      <c r="K9" s="48">
        <f>2+1+1-1</f>
        <v>3</v>
      </c>
      <c r="L9" s="49">
        <f>1+2+1+2+2-1+1+2</f>
        <v>10</v>
      </c>
      <c r="M9" s="47">
        <v>2</v>
      </c>
      <c r="N9" s="48">
        <f>2+1+2+1</f>
        <v>6</v>
      </c>
      <c r="O9" s="49">
        <f>2+1-1+1</f>
        <v>3</v>
      </c>
      <c r="P9" s="47"/>
      <c r="Q9" s="48"/>
      <c r="R9" s="49">
        <f>1+1+1+1+1+1+2+1+2+3+1+1</f>
        <v>16</v>
      </c>
      <c r="S9" s="47"/>
      <c r="T9" s="48"/>
      <c r="U9" s="49"/>
      <c r="V9" s="50">
        <v>44491</v>
      </c>
      <c r="W9" s="50" t="s">
        <v>647</v>
      </c>
      <c r="Y9" s="51"/>
      <c r="Z9" s="62" t="s">
        <v>25</v>
      </c>
      <c r="AA9" s="53" t="s">
        <v>26</v>
      </c>
    </row>
    <row r="10" spans="2:27" ht="20.25" customHeight="1">
      <c r="B10" s="339"/>
      <c r="C10" s="54" t="str">
        <f>B6</f>
        <v>玉掛</v>
      </c>
      <c r="D10" s="41">
        <v>44573</v>
      </c>
      <c r="E10" s="42" t="s">
        <v>7</v>
      </c>
      <c r="F10" s="56">
        <v>40</v>
      </c>
      <c r="G10" s="44">
        <f t="shared" si="0"/>
        <v>17</v>
      </c>
      <c r="H10" s="45"/>
      <c r="I10" s="46">
        <f t="shared" si="1"/>
        <v>23</v>
      </c>
      <c r="J10" s="47">
        <f>1-1</f>
        <v>0</v>
      </c>
      <c r="K10" s="48">
        <v>2</v>
      </c>
      <c r="L10" s="49">
        <f>1+1+1+1-1+1+1+2</f>
        <v>7</v>
      </c>
      <c r="M10" s="47"/>
      <c r="N10" s="48">
        <f>2+1</f>
        <v>3</v>
      </c>
      <c r="O10" s="49">
        <f>4+1</f>
        <v>5</v>
      </c>
      <c r="P10" s="47"/>
      <c r="Q10" s="48"/>
      <c r="R10" s="49">
        <f>1+2+1</f>
        <v>4</v>
      </c>
      <c r="S10" s="47"/>
      <c r="T10" s="48"/>
      <c r="U10" s="49">
        <v>2</v>
      </c>
      <c r="V10" s="50">
        <v>44550</v>
      </c>
      <c r="W10" s="50"/>
      <c r="Y10" s="51"/>
      <c r="Z10" s="52" t="s">
        <v>20</v>
      </c>
      <c r="AA10" s="53" t="s">
        <v>21</v>
      </c>
    </row>
    <row r="11" spans="2:27" hidden="1">
      <c r="B11" s="339"/>
      <c r="C11" s="54" t="str">
        <f>B6</f>
        <v>玉掛</v>
      </c>
      <c r="D11" s="41"/>
      <c r="E11" s="42"/>
      <c r="F11" s="56"/>
      <c r="G11" s="44">
        <f t="shared" si="0"/>
        <v>0</v>
      </c>
      <c r="H11" s="45"/>
      <c r="I11" s="46">
        <f t="shared" si="1"/>
        <v>0</v>
      </c>
      <c r="J11" s="47"/>
      <c r="K11" s="48"/>
      <c r="L11" s="49"/>
      <c r="M11" s="47"/>
      <c r="N11" s="48"/>
      <c r="O11" s="49"/>
      <c r="P11" s="47"/>
      <c r="Q11" s="48"/>
      <c r="R11" s="49"/>
      <c r="S11" s="47"/>
      <c r="T11" s="48"/>
      <c r="U11" s="49"/>
      <c r="V11" s="50"/>
      <c r="W11" s="50"/>
      <c r="Y11" s="51"/>
      <c r="Z11" s="52"/>
      <c r="AA11" s="53"/>
    </row>
    <row r="12" spans="2:27" ht="18.649999999999999" hidden="1" customHeight="1">
      <c r="B12" s="340"/>
      <c r="C12" s="54" t="str">
        <f>B6</f>
        <v>玉掛</v>
      </c>
      <c r="D12" s="63"/>
      <c r="E12" s="64"/>
      <c r="F12" s="65"/>
      <c r="G12" s="66">
        <f t="shared" si="0"/>
        <v>0</v>
      </c>
      <c r="H12" s="45"/>
      <c r="I12" s="67"/>
      <c r="J12" s="68"/>
      <c r="K12" s="69"/>
      <c r="L12" s="70"/>
      <c r="M12" s="68"/>
      <c r="N12" s="69"/>
      <c r="O12" s="70"/>
      <c r="P12" s="68"/>
      <c r="Q12" s="69"/>
      <c r="R12" s="70"/>
      <c r="S12" s="68"/>
      <c r="T12" s="69"/>
      <c r="U12" s="70"/>
      <c r="V12" s="71"/>
      <c r="W12" s="71"/>
      <c r="Y12" s="72"/>
      <c r="Z12" s="62"/>
      <c r="AA12" s="73"/>
    </row>
    <row r="13" spans="2:27" ht="19" customHeight="1">
      <c r="B13" s="36"/>
      <c r="C13" s="74"/>
      <c r="D13" s="75"/>
      <c r="E13" s="31"/>
      <c r="F13" s="76"/>
      <c r="G13" s="77"/>
      <c r="H13" s="78"/>
      <c r="I13" s="79"/>
      <c r="J13" s="28" t="s">
        <v>27</v>
      </c>
      <c r="K13" s="76" t="s">
        <v>28</v>
      </c>
      <c r="L13" s="80" t="s">
        <v>29</v>
      </c>
      <c r="M13" s="28" t="s">
        <v>27</v>
      </c>
      <c r="N13" s="76" t="s">
        <v>28</v>
      </c>
      <c r="O13" s="80" t="s">
        <v>29</v>
      </c>
      <c r="P13" s="28" t="s">
        <v>27</v>
      </c>
      <c r="Q13" s="76" t="s">
        <v>28</v>
      </c>
      <c r="R13" s="80" t="s">
        <v>29</v>
      </c>
      <c r="S13" s="28" t="s">
        <v>27</v>
      </c>
      <c r="T13" s="76" t="s">
        <v>28</v>
      </c>
      <c r="U13" s="80" t="s">
        <v>29</v>
      </c>
      <c r="V13" s="81"/>
      <c r="W13" s="81"/>
      <c r="Y13" s="82" t="s">
        <v>30</v>
      </c>
      <c r="Z13" s="36" t="s">
        <v>31</v>
      </c>
      <c r="AA13" s="37" t="s">
        <v>18</v>
      </c>
    </row>
    <row r="14" spans="2:27" ht="19.5" customHeight="1">
      <c r="B14" s="339" t="s">
        <v>32</v>
      </c>
      <c r="C14" s="54" t="str">
        <f>B14</f>
        <v>フォーク</v>
      </c>
      <c r="D14" s="41">
        <v>44334</v>
      </c>
      <c r="E14" s="42" t="s">
        <v>7</v>
      </c>
      <c r="F14" s="43">
        <v>40</v>
      </c>
      <c r="G14" s="83">
        <f t="shared" ref="G14:G20" si="2">F14-I14</f>
        <v>2</v>
      </c>
      <c r="H14" s="45"/>
      <c r="I14" s="57">
        <f t="shared" ref="I14:I20" si="3">SUM(J14:U14)</f>
        <v>38</v>
      </c>
      <c r="J14" s="58"/>
      <c r="K14" s="56">
        <f>31+1-1+1-1+1-1-1</f>
        <v>30</v>
      </c>
      <c r="L14" s="60">
        <v>0</v>
      </c>
      <c r="M14" s="58"/>
      <c r="N14" s="56">
        <f>2+1+1+1+1+1</f>
        <v>7</v>
      </c>
      <c r="O14" s="60"/>
      <c r="P14" s="58"/>
      <c r="Q14" s="56">
        <f>1+2+3-4-1</f>
        <v>1</v>
      </c>
      <c r="R14" s="60">
        <f>2-1-1</f>
        <v>0</v>
      </c>
      <c r="S14" s="58"/>
      <c r="T14" s="56"/>
      <c r="U14" s="49"/>
      <c r="V14" s="61">
        <v>44333</v>
      </c>
      <c r="W14" s="61"/>
      <c r="Y14" s="84" t="s">
        <v>33</v>
      </c>
      <c r="Z14" s="52" t="s">
        <v>20</v>
      </c>
      <c r="AA14" s="53" t="s">
        <v>22</v>
      </c>
    </row>
    <row r="15" spans="2:27" ht="19.5" customHeight="1">
      <c r="B15" s="339"/>
      <c r="C15" s="54" t="str">
        <f>B14</f>
        <v>フォーク</v>
      </c>
      <c r="D15" s="55">
        <v>44398</v>
      </c>
      <c r="E15" s="42" t="s">
        <v>23</v>
      </c>
      <c r="F15" s="43">
        <v>30</v>
      </c>
      <c r="G15" s="44">
        <f t="shared" si="2"/>
        <v>0</v>
      </c>
      <c r="H15" s="45"/>
      <c r="I15" s="46">
        <f t="shared" si="3"/>
        <v>30</v>
      </c>
      <c r="J15" s="47"/>
      <c r="K15" s="43">
        <f>1+1-1+1-1+1-1+1+1+1+1-1+1-1+1+1+1-1</f>
        <v>6</v>
      </c>
      <c r="L15" s="49"/>
      <c r="M15" s="47"/>
      <c r="N15" s="43">
        <f>1+2+1+1+1+3+1+1+1-1-1</f>
        <v>10</v>
      </c>
      <c r="O15" s="49"/>
      <c r="P15" s="47"/>
      <c r="Q15" s="43">
        <f>1+1+1+1+2+1+1+1+1+1+1+1-1+1</f>
        <v>13</v>
      </c>
      <c r="R15" s="49"/>
      <c r="S15" s="47"/>
      <c r="T15" s="85">
        <v>1</v>
      </c>
      <c r="U15" s="49"/>
      <c r="V15" s="50">
        <v>44392</v>
      </c>
      <c r="W15" s="50"/>
      <c r="Y15" s="51"/>
      <c r="Z15" s="52" t="s">
        <v>24</v>
      </c>
      <c r="AA15" s="53"/>
    </row>
    <row r="16" spans="2:27" ht="19.5" customHeight="1">
      <c r="B16" s="339"/>
      <c r="C16" s="54" t="str">
        <f>B14</f>
        <v>フォーク</v>
      </c>
      <c r="D16" s="41">
        <v>44452</v>
      </c>
      <c r="E16" s="42" t="s">
        <v>7</v>
      </c>
      <c r="F16" s="43">
        <v>40</v>
      </c>
      <c r="G16" s="44">
        <f t="shared" si="2"/>
        <v>1</v>
      </c>
      <c r="H16" s="45"/>
      <c r="I16" s="46">
        <f t="shared" si="3"/>
        <v>39</v>
      </c>
      <c r="J16" s="47"/>
      <c r="K16" s="43">
        <f>1+1+1+1+1+2+1+1-1+1+2+1+1+1+1+1+2+1+2+1+1-1+1-1+1+1+1+1-1+1-1+1+1-1-1+1+1+1-1</f>
        <v>27</v>
      </c>
      <c r="L16" s="49"/>
      <c r="M16" s="47"/>
      <c r="N16" s="43">
        <f>1+2+2+1+2-1+1-1</f>
        <v>7</v>
      </c>
      <c r="O16" s="49"/>
      <c r="P16" s="47"/>
      <c r="Q16" s="43">
        <f>2+2+2-1</f>
        <v>5</v>
      </c>
      <c r="R16" s="49"/>
      <c r="S16" s="47"/>
      <c r="T16" s="85"/>
      <c r="U16" s="49"/>
      <c r="V16" s="50">
        <v>44448</v>
      </c>
      <c r="W16" s="50"/>
      <c r="Y16" s="51"/>
      <c r="Z16" s="52" t="s">
        <v>20</v>
      </c>
      <c r="AA16" s="53" t="s">
        <v>22</v>
      </c>
    </row>
    <row r="17" spans="2:68" ht="19.5" customHeight="1">
      <c r="B17" s="339"/>
      <c r="C17" s="54" t="str">
        <f>B14</f>
        <v>フォーク</v>
      </c>
      <c r="D17" s="41">
        <v>44508</v>
      </c>
      <c r="E17" s="42" t="s">
        <v>7</v>
      </c>
      <c r="F17" s="43">
        <v>40</v>
      </c>
      <c r="G17" s="44">
        <f t="shared" si="2"/>
        <v>0</v>
      </c>
      <c r="H17" s="45"/>
      <c r="I17" s="46">
        <f t="shared" si="3"/>
        <v>40</v>
      </c>
      <c r="J17" s="47">
        <v>1</v>
      </c>
      <c r="K17" s="43">
        <f>1+1+1+1+1+1+2+1+1+3+1-3+1+1-2+1+1+1+1+1-1-1+1+1-1+1</f>
        <v>16</v>
      </c>
      <c r="L17" s="49">
        <f>19-5-7</f>
        <v>7</v>
      </c>
      <c r="M17" s="47"/>
      <c r="N17" s="43">
        <f>2+1+1+1+1</f>
        <v>6</v>
      </c>
      <c r="O17" s="49">
        <v>1</v>
      </c>
      <c r="P17" s="47">
        <v>2</v>
      </c>
      <c r="Q17" s="43">
        <f>1+1+2+1+1-1-1</f>
        <v>4</v>
      </c>
      <c r="R17" s="49"/>
      <c r="S17" s="47"/>
      <c r="T17" s="85">
        <v>3</v>
      </c>
      <c r="U17" s="49"/>
      <c r="V17" s="50">
        <v>44497</v>
      </c>
      <c r="W17" s="50"/>
      <c r="Y17" s="84" t="s">
        <v>581</v>
      </c>
      <c r="Z17" s="62" t="s">
        <v>25</v>
      </c>
      <c r="AA17" s="53" t="s">
        <v>22</v>
      </c>
      <c r="AC17" s="250"/>
    </row>
    <row r="18" spans="2:68" ht="19.5" customHeight="1">
      <c r="B18" s="339"/>
      <c r="C18" s="54" t="str">
        <f>B14</f>
        <v>フォーク</v>
      </c>
      <c r="D18" s="63">
        <v>44583</v>
      </c>
      <c r="E18" s="42" t="s">
        <v>7</v>
      </c>
      <c r="F18" s="203">
        <v>30</v>
      </c>
      <c r="G18" s="44">
        <f t="shared" si="2"/>
        <v>0</v>
      </c>
      <c r="H18" s="45"/>
      <c r="I18" s="46">
        <f t="shared" si="3"/>
        <v>30</v>
      </c>
      <c r="J18" s="68"/>
      <c r="K18" s="65">
        <f>1+1+1+1+1+1-1-1+1+1+1+1+1+5+1+1-1+1+1+1-1-1+1+2+1+1+1</f>
        <v>22</v>
      </c>
      <c r="L18" s="70"/>
      <c r="M18" s="68"/>
      <c r="N18" s="65">
        <f>1+1+1+1</f>
        <v>4</v>
      </c>
      <c r="O18" s="70"/>
      <c r="P18" s="68"/>
      <c r="Q18" s="65">
        <f>1+2+1</f>
        <v>4</v>
      </c>
      <c r="R18" s="70"/>
      <c r="S18" s="68"/>
      <c r="T18" s="86"/>
      <c r="U18" s="70"/>
      <c r="V18" s="71">
        <v>44572</v>
      </c>
      <c r="W18" s="71"/>
      <c r="Y18" s="87"/>
      <c r="Z18" s="62" t="s">
        <v>25</v>
      </c>
      <c r="AA18" s="53" t="s">
        <v>26</v>
      </c>
    </row>
    <row r="19" spans="2:68">
      <c r="B19" s="339"/>
      <c r="C19" s="54" t="str">
        <f>B14</f>
        <v>フォーク</v>
      </c>
      <c r="D19" s="63">
        <v>44638</v>
      </c>
      <c r="E19" s="42" t="s">
        <v>7</v>
      </c>
      <c r="F19" s="43">
        <v>40</v>
      </c>
      <c r="G19" s="44">
        <f t="shared" si="2"/>
        <v>3</v>
      </c>
      <c r="H19" s="45"/>
      <c r="I19" s="46">
        <f t="shared" si="3"/>
        <v>37</v>
      </c>
      <c r="J19" s="68">
        <f>1+1</f>
        <v>2</v>
      </c>
      <c r="K19" s="65">
        <f>2+1-1+1+1+1+1+1+1+2+1+1+1-1+1+1+1+1+1-1+2+1-1+1</f>
        <v>19</v>
      </c>
      <c r="L19" s="70">
        <v>1</v>
      </c>
      <c r="M19" s="68"/>
      <c r="N19" s="65">
        <f>2+1+1+1+2+1+1+1+2</f>
        <v>12</v>
      </c>
      <c r="O19" s="70"/>
      <c r="P19" s="68"/>
      <c r="Q19" s="65">
        <f>1+1+1</f>
        <v>3</v>
      </c>
      <c r="R19" s="70"/>
      <c r="S19" s="68"/>
      <c r="T19" s="86"/>
      <c r="U19" s="70"/>
      <c r="V19" s="71">
        <v>44630</v>
      </c>
      <c r="W19" s="71"/>
      <c r="Y19" s="87"/>
      <c r="Z19" s="62" t="s">
        <v>25</v>
      </c>
      <c r="AA19" s="53" t="s">
        <v>26</v>
      </c>
    </row>
    <row r="20" spans="2:68" hidden="1">
      <c r="B20" s="340"/>
      <c r="C20" s="88" t="str">
        <f>B14</f>
        <v>フォーク</v>
      </c>
      <c r="D20" s="89"/>
      <c r="E20" s="90"/>
      <c r="F20" s="65"/>
      <c r="G20" s="91">
        <f t="shared" si="2"/>
        <v>0</v>
      </c>
      <c r="H20" s="92"/>
      <c r="I20" s="93">
        <f t="shared" si="3"/>
        <v>0</v>
      </c>
      <c r="J20" s="94"/>
      <c r="K20" s="95"/>
      <c r="L20" s="96"/>
      <c r="M20" s="94"/>
      <c r="N20" s="95"/>
      <c r="O20" s="96"/>
      <c r="P20" s="94"/>
      <c r="Q20" s="95"/>
      <c r="R20" s="96"/>
      <c r="S20" s="94"/>
      <c r="T20" s="97"/>
      <c r="U20" s="96"/>
      <c r="V20" s="98"/>
      <c r="W20" s="98"/>
      <c r="Y20" s="72"/>
      <c r="Z20" s="62"/>
      <c r="AA20" s="53"/>
    </row>
    <row r="21" spans="2:68" ht="19" customHeight="1">
      <c r="B21" s="99"/>
      <c r="C21" s="100"/>
      <c r="D21" s="101"/>
      <c r="E21" s="102"/>
      <c r="F21" s="103"/>
      <c r="G21" s="104"/>
      <c r="H21" s="105"/>
      <c r="I21" s="106"/>
      <c r="J21" s="107" t="s">
        <v>15</v>
      </c>
      <c r="K21" s="108" t="s">
        <v>34</v>
      </c>
      <c r="L21" s="109"/>
      <c r="M21" s="107" t="s">
        <v>15</v>
      </c>
      <c r="N21" s="108" t="s">
        <v>34</v>
      </c>
      <c r="O21" s="109"/>
      <c r="P21" s="107" t="s">
        <v>15</v>
      </c>
      <c r="Q21" s="108" t="s">
        <v>34</v>
      </c>
      <c r="R21" s="109"/>
      <c r="S21" s="107" t="s">
        <v>15</v>
      </c>
      <c r="T21" s="108" t="s">
        <v>34</v>
      </c>
      <c r="U21" s="109"/>
      <c r="V21" s="110"/>
      <c r="W21" s="110"/>
      <c r="Y21" s="111"/>
      <c r="Z21" s="36" t="s">
        <v>17</v>
      </c>
      <c r="AA21" s="37" t="s">
        <v>18</v>
      </c>
    </row>
    <row r="22" spans="2:68" ht="19.5" customHeight="1">
      <c r="B22" s="339" t="s">
        <v>35</v>
      </c>
      <c r="C22" s="54" t="str">
        <f>B22</f>
        <v>小移動</v>
      </c>
      <c r="D22" s="55">
        <v>44384</v>
      </c>
      <c r="E22" s="112" t="s">
        <v>7</v>
      </c>
      <c r="F22" s="56">
        <v>20</v>
      </c>
      <c r="G22" s="83">
        <f>F22-I22</f>
        <v>2</v>
      </c>
      <c r="H22" s="45"/>
      <c r="I22" s="57">
        <f t="shared" ref="I22:I25" si="4">SUM(J22:U22)</f>
        <v>18</v>
      </c>
      <c r="J22" s="58">
        <f>1+1+3+1+2</f>
        <v>8</v>
      </c>
      <c r="K22" s="59">
        <f>1+4+1-1-4+1</f>
        <v>2</v>
      </c>
      <c r="L22" s="60"/>
      <c r="M22" s="58">
        <f>7+1+1-1</f>
        <v>8</v>
      </c>
      <c r="N22" s="59">
        <f>1-1</f>
        <v>0</v>
      </c>
      <c r="O22" s="60"/>
      <c r="P22" s="58"/>
      <c r="Q22" s="59"/>
      <c r="R22" s="60"/>
      <c r="S22" s="58"/>
      <c r="T22" s="59"/>
      <c r="U22" s="60"/>
      <c r="V22" s="61">
        <v>44382</v>
      </c>
      <c r="W22" s="61"/>
      <c r="Y22" s="51"/>
      <c r="Z22" s="52" t="s">
        <v>20</v>
      </c>
      <c r="AA22" s="53" t="s">
        <v>22</v>
      </c>
      <c r="BP22" s="2" t="s">
        <v>36</v>
      </c>
    </row>
    <row r="23" spans="2:68" ht="17.25" customHeight="1">
      <c r="B23" s="339"/>
      <c r="C23" s="54" t="str">
        <f>B22</f>
        <v>小移動</v>
      </c>
      <c r="D23" s="41">
        <v>44476</v>
      </c>
      <c r="E23" s="42" t="s">
        <v>23</v>
      </c>
      <c r="F23" s="56">
        <v>20</v>
      </c>
      <c r="G23" s="44">
        <f>F23-I23</f>
        <v>8</v>
      </c>
      <c r="H23" s="113"/>
      <c r="I23" s="57">
        <f t="shared" si="4"/>
        <v>12</v>
      </c>
      <c r="J23" s="47">
        <f>1+1+1</f>
        <v>3</v>
      </c>
      <c r="K23" s="48">
        <f>1+1-1+5-1-1</f>
        <v>4</v>
      </c>
      <c r="L23" s="114"/>
      <c r="M23" s="47"/>
      <c r="N23" s="48">
        <f>2+2</f>
        <v>4</v>
      </c>
      <c r="O23" s="49"/>
      <c r="P23" s="47"/>
      <c r="Q23" s="48">
        <v>1</v>
      </c>
      <c r="R23" s="49"/>
      <c r="S23" s="47"/>
      <c r="T23" s="48"/>
      <c r="U23" s="49"/>
      <c r="V23" s="50">
        <v>44473</v>
      </c>
      <c r="W23" s="50"/>
      <c r="Y23" s="51"/>
      <c r="Z23" s="52" t="s">
        <v>24</v>
      </c>
      <c r="AA23" s="53"/>
    </row>
    <row r="24" spans="2:68" ht="19.5" hidden="1" customHeight="1">
      <c r="B24" s="339"/>
      <c r="C24" s="54" t="str">
        <f>B22</f>
        <v>小移動</v>
      </c>
      <c r="D24" s="63"/>
      <c r="E24" s="42"/>
      <c r="F24" s="56"/>
      <c r="G24" s="44">
        <f>F24-I24</f>
        <v>0</v>
      </c>
      <c r="H24" s="113"/>
      <c r="I24" s="57">
        <f t="shared" ref="I24" si="5">SUM(J24:U24)</f>
        <v>0</v>
      </c>
      <c r="J24" s="68"/>
      <c r="K24" s="65"/>
      <c r="L24" s="70"/>
      <c r="M24" s="68"/>
      <c r="N24" s="69"/>
      <c r="O24" s="70"/>
      <c r="P24" s="68"/>
      <c r="Q24" s="69"/>
      <c r="R24" s="70"/>
      <c r="S24" s="68"/>
      <c r="T24" s="69"/>
      <c r="U24" s="70"/>
      <c r="V24" s="71"/>
      <c r="W24" s="71"/>
      <c r="Y24" s="115"/>
      <c r="Z24" s="62"/>
      <c r="AA24" s="53"/>
    </row>
    <row r="25" spans="2:68" ht="19.5" hidden="1" customHeight="1">
      <c r="B25" s="340"/>
      <c r="C25" s="88" t="str">
        <f>B22</f>
        <v>小移動</v>
      </c>
      <c r="D25" s="89"/>
      <c r="E25" s="90"/>
      <c r="F25" s="95"/>
      <c r="G25" s="91">
        <f>F25-I25</f>
        <v>0</v>
      </c>
      <c r="H25" s="116"/>
      <c r="I25" s="57">
        <f t="shared" si="4"/>
        <v>0</v>
      </c>
      <c r="J25" s="94"/>
      <c r="K25" s="117"/>
      <c r="L25" s="96"/>
      <c r="M25" s="94"/>
      <c r="N25" s="117"/>
      <c r="O25" s="96"/>
      <c r="P25" s="94"/>
      <c r="Q25" s="117"/>
      <c r="R25" s="96"/>
      <c r="S25" s="94"/>
      <c r="T25" s="117"/>
      <c r="U25" s="96"/>
      <c r="V25" s="98"/>
      <c r="W25" s="98"/>
      <c r="Y25" s="46"/>
      <c r="Z25" s="118"/>
      <c r="AA25" s="119"/>
    </row>
    <row r="26" spans="2:68" ht="19.5" customHeight="1">
      <c r="B26" s="120"/>
      <c r="C26" s="121"/>
      <c r="D26" s="122"/>
      <c r="E26" s="102"/>
      <c r="F26" s="123"/>
      <c r="G26" s="124" t="s">
        <v>37</v>
      </c>
      <c r="H26" s="12"/>
      <c r="I26" s="125" t="s">
        <v>6</v>
      </c>
      <c r="J26" s="341" t="s">
        <v>7</v>
      </c>
      <c r="K26" s="342"/>
      <c r="L26" s="343"/>
      <c r="M26" s="341" t="s">
        <v>8</v>
      </c>
      <c r="N26" s="342"/>
      <c r="O26" s="344"/>
      <c r="P26" s="341" t="s">
        <v>9</v>
      </c>
      <c r="Q26" s="342"/>
      <c r="R26" s="343"/>
      <c r="S26" s="341" t="s">
        <v>10</v>
      </c>
      <c r="T26" s="342"/>
      <c r="U26" s="343"/>
      <c r="V26" s="14" t="s">
        <v>11</v>
      </c>
      <c r="W26" s="14"/>
      <c r="Y26" s="126"/>
      <c r="Z26" s="127"/>
      <c r="AA26" s="128"/>
    </row>
    <row r="27" spans="2:68" ht="19.5" customHeight="1">
      <c r="B27" s="28"/>
      <c r="C27" s="29"/>
      <c r="D27" s="75"/>
      <c r="E27" s="31"/>
      <c r="F27" s="32"/>
      <c r="G27" s="129"/>
      <c r="H27" s="12"/>
      <c r="I27" s="35"/>
      <c r="J27" s="36" t="s">
        <v>38</v>
      </c>
      <c r="K27" s="31" t="s">
        <v>39</v>
      </c>
      <c r="L27" s="37" t="s">
        <v>40</v>
      </c>
      <c r="M27" s="36" t="s">
        <v>38</v>
      </c>
      <c r="N27" s="31" t="s">
        <v>39</v>
      </c>
      <c r="O27" s="37" t="s">
        <v>40</v>
      </c>
      <c r="P27" s="36" t="s">
        <v>38</v>
      </c>
      <c r="Q27" s="31" t="s">
        <v>39</v>
      </c>
      <c r="R27" s="37" t="s">
        <v>40</v>
      </c>
      <c r="S27" s="36" t="s">
        <v>38</v>
      </c>
      <c r="T27" s="31" t="s">
        <v>39</v>
      </c>
      <c r="U27" s="37" t="s">
        <v>40</v>
      </c>
      <c r="V27" s="35"/>
      <c r="W27" s="35"/>
      <c r="Y27" s="111"/>
      <c r="Z27" s="36" t="s">
        <v>17</v>
      </c>
      <c r="AA27" s="37" t="s">
        <v>18</v>
      </c>
    </row>
    <row r="28" spans="2:68" ht="19.5" customHeight="1">
      <c r="B28" s="339" t="s">
        <v>41</v>
      </c>
      <c r="C28" s="54" t="str">
        <f>B28</f>
        <v>高所</v>
      </c>
      <c r="D28" s="55">
        <v>44357</v>
      </c>
      <c r="E28" s="112" t="s">
        <v>7</v>
      </c>
      <c r="F28" s="56">
        <v>20</v>
      </c>
      <c r="G28" s="83">
        <f t="shared" ref="G28:G50" si="6">F28-I28</f>
        <v>4</v>
      </c>
      <c r="H28" s="45"/>
      <c r="I28" s="57">
        <f t="shared" ref="I28:I37" si="7">SUM(J28:U28)</f>
        <v>16</v>
      </c>
      <c r="J28" s="58">
        <f>1-1+2</f>
        <v>2</v>
      </c>
      <c r="K28" s="59">
        <f>2+1+9-1</f>
        <v>11</v>
      </c>
      <c r="L28" s="60"/>
      <c r="M28" s="58">
        <v>2</v>
      </c>
      <c r="N28" s="59">
        <v>1</v>
      </c>
      <c r="O28" s="60"/>
      <c r="P28" s="58"/>
      <c r="Q28" s="59"/>
      <c r="R28" s="60"/>
      <c r="S28" s="58"/>
      <c r="T28" s="59"/>
      <c r="U28" s="60"/>
      <c r="V28" s="61">
        <v>44330</v>
      </c>
      <c r="W28" s="61"/>
      <c r="Y28" s="51"/>
      <c r="Z28" s="52" t="s">
        <v>20</v>
      </c>
      <c r="AA28" s="53" t="s">
        <v>21</v>
      </c>
    </row>
    <row r="29" spans="2:68" ht="19.5" customHeight="1">
      <c r="B29" s="339"/>
      <c r="C29" s="54" t="str">
        <f>B28</f>
        <v>高所</v>
      </c>
      <c r="D29" s="55">
        <v>44470</v>
      </c>
      <c r="E29" s="42" t="s">
        <v>7</v>
      </c>
      <c r="F29" s="56">
        <v>20</v>
      </c>
      <c r="G29" s="83">
        <f t="shared" si="6"/>
        <v>8</v>
      </c>
      <c r="H29" s="45"/>
      <c r="I29" s="57">
        <f t="shared" si="7"/>
        <v>12</v>
      </c>
      <c r="J29" s="47"/>
      <c r="K29" s="48">
        <f>1+1+2+1+2+1+1+1-1</f>
        <v>9</v>
      </c>
      <c r="L29" s="130"/>
      <c r="M29" s="47">
        <v>2</v>
      </c>
      <c r="N29" s="48">
        <v>1</v>
      </c>
      <c r="O29" s="130"/>
      <c r="P29" s="47"/>
      <c r="Q29" s="48"/>
      <c r="R29" s="130"/>
      <c r="S29" s="47"/>
      <c r="T29" s="48"/>
      <c r="U29" s="130"/>
      <c r="V29" s="50">
        <v>44466</v>
      </c>
      <c r="W29" s="50"/>
      <c r="Y29" s="51"/>
      <c r="Z29" s="62" t="s">
        <v>25</v>
      </c>
      <c r="AA29" s="53" t="s">
        <v>21</v>
      </c>
    </row>
    <row r="30" spans="2:68" ht="19.5" hidden="1" customHeight="1">
      <c r="B30" s="340"/>
      <c r="C30" s="88" t="str">
        <f>B28</f>
        <v>高所</v>
      </c>
      <c r="D30" s="131"/>
      <c r="E30" s="132"/>
      <c r="F30" s="133"/>
      <c r="G30" s="134">
        <f t="shared" si="6"/>
        <v>0</v>
      </c>
      <c r="H30" s="45"/>
      <c r="I30" s="135"/>
      <c r="J30" s="94"/>
      <c r="K30" s="117"/>
      <c r="L30" s="136"/>
      <c r="M30" s="94"/>
      <c r="N30" s="117"/>
      <c r="O30" s="136"/>
      <c r="P30" s="94"/>
      <c r="Q30" s="117"/>
      <c r="R30" s="136"/>
      <c r="S30" s="94"/>
      <c r="T30" s="117"/>
      <c r="U30" s="136"/>
      <c r="V30" s="98"/>
      <c r="W30" s="98"/>
      <c r="Y30" s="72"/>
      <c r="Z30" s="137"/>
      <c r="AA30" s="73"/>
    </row>
    <row r="31" spans="2:68" ht="19.5" customHeight="1">
      <c r="B31" s="366" t="s">
        <v>42</v>
      </c>
      <c r="C31" s="138" t="s">
        <v>43</v>
      </c>
      <c r="D31" s="139">
        <v>44310</v>
      </c>
      <c r="E31" s="140" t="s">
        <v>23</v>
      </c>
      <c r="F31" s="141">
        <v>30</v>
      </c>
      <c r="G31" s="142">
        <f t="shared" si="6"/>
        <v>7</v>
      </c>
      <c r="H31" s="45"/>
      <c r="I31" s="143">
        <f t="shared" si="7"/>
        <v>23</v>
      </c>
      <c r="J31" s="386">
        <f>1+4+2+1+3-3</f>
        <v>8</v>
      </c>
      <c r="K31" s="387"/>
      <c r="L31" s="388"/>
      <c r="M31" s="386">
        <f>1+2+1-2</f>
        <v>2</v>
      </c>
      <c r="N31" s="387"/>
      <c r="O31" s="389"/>
      <c r="P31" s="386">
        <f>10+1+2-1+1</f>
        <v>13</v>
      </c>
      <c r="Q31" s="387"/>
      <c r="R31" s="388"/>
      <c r="S31" s="386"/>
      <c r="T31" s="387"/>
      <c r="U31" s="388"/>
      <c r="V31" s="144">
        <v>44294</v>
      </c>
      <c r="W31" s="144"/>
      <c r="X31" s="144"/>
      <c r="Y31" s="145"/>
      <c r="Z31" s="146" t="s">
        <v>24</v>
      </c>
      <c r="AA31" s="147" t="s">
        <v>44</v>
      </c>
    </row>
    <row r="32" spans="2:68" ht="19.5" customHeight="1">
      <c r="B32" s="339"/>
      <c r="C32" s="148" t="s">
        <v>45</v>
      </c>
      <c r="D32" s="41">
        <v>44358</v>
      </c>
      <c r="E32" s="42" t="s">
        <v>7</v>
      </c>
      <c r="F32" s="56">
        <v>40</v>
      </c>
      <c r="G32" s="83">
        <f t="shared" si="6"/>
        <v>6</v>
      </c>
      <c r="H32" s="45"/>
      <c r="I32" s="57">
        <f t="shared" si="7"/>
        <v>34</v>
      </c>
      <c r="J32" s="346">
        <f>3+3+5+2+1+1+1+1-1</f>
        <v>16</v>
      </c>
      <c r="K32" s="347"/>
      <c r="L32" s="348"/>
      <c r="M32" s="346">
        <f>3+2+1+1+2</f>
        <v>9</v>
      </c>
      <c r="N32" s="347"/>
      <c r="O32" s="348"/>
      <c r="P32" s="346">
        <f>1+1+1+2+4+1-1</f>
        <v>9</v>
      </c>
      <c r="Q32" s="347"/>
      <c r="R32" s="348"/>
      <c r="S32" s="346"/>
      <c r="T32" s="347"/>
      <c r="U32" s="348"/>
      <c r="V32" s="50">
        <v>44348</v>
      </c>
      <c r="W32" s="50"/>
      <c r="Y32" s="51"/>
      <c r="Z32" s="52" t="s">
        <v>20</v>
      </c>
      <c r="AA32" s="149" t="s">
        <v>46</v>
      </c>
    </row>
    <row r="33" spans="1:27" ht="19.5" customHeight="1">
      <c r="B33" s="339"/>
      <c r="C33" s="148" t="s">
        <v>45</v>
      </c>
      <c r="D33" s="41">
        <v>44450</v>
      </c>
      <c r="E33" s="42" t="s">
        <v>23</v>
      </c>
      <c r="F33" s="56">
        <v>30</v>
      </c>
      <c r="G33" s="83">
        <f t="shared" si="6"/>
        <v>10</v>
      </c>
      <c r="H33" s="45"/>
      <c r="I33" s="57">
        <f t="shared" si="7"/>
        <v>20</v>
      </c>
      <c r="J33" s="346">
        <f>3+2-2+1+1</f>
        <v>5</v>
      </c>
      <c r="K33" s="347"/>
      <c r="L33" s="348"/>
      <c r="M33" s="346"/>
      <c r="N33" s="347"/>
      <c r="O33" s="348"/>
      <c r="P33" s="346">
        <f>2+1+1+1+5+2+1+2</f>
        <v>15</v>
      </c>
      <c r="Q33" s="347"/>
      <c r="R33" s="348"/>
      <c r="S33" s="346"/>
      <c r="T33" s="347"/>
      <c r="U33" s="348"/>
      <c r="V33" s="50">
        <v>44448</v>
      </c>
      <c r="W33" s="50"/>
      <c r="Y33" s="51"/>
      <c r="Z33" s="52" t="s">
        <v>24</v>
      </c>
      <c r="AA33" s="150" t="s">
        <v>44</v>
      </c>
    </row>
    <row r="34" spans="1:27" ht="19.5" customHeight="1">
      <c r="B34" s="339"/>
      <c r="C34" s="148" t="s">
        <v>45</v>
      </c>
      <c r="D34" s="63">
        <v>44526</v>
      </c>
      <c r="E34" s="42" t="s">
        <v>7</v>
      </c>
      <c r="F34" s="56">
        <v>40</v>
      </c>
      <c r="G34" s="83">
        <f t="shared" si="6"/>
        <v>13</v>
      </c>
      <c r="H34" s="45"/>
      <c r="I34" s="57">
        <f t="shared" si="7"/>
        <v>27</v>
      </c>
      <c r="J34" s="350">
        <f>1+2+4+1+2+1+1-1+1+1+1+1-1</f>
        <v>14</v>
      </c>
      <c r="K34" s="351"/>
      <c r="L34" s="348"/>
      <c r="M34" s="346">
        <f>1+1+1+1+1+1+1-1</f>
        <v>6</v>
      </c>
      <c r="N34" s="347"/>
      <c r="O34" s="352"/>
      <c r="P34" s="353">
        <f>1+1+2+1+1+1+1-1</f>
        <v>7</v>
      </c>
      <c r="Q34" s="354"/>
      <c r="R34" s="355"/>
      <c r="S34" s="115"/>
      <c r="T34" s="86"/>
      <c r="U34" s="151"/>
      <c r="V34" s="71">
        <v>44529</v>
      </c>
      <c r="W34" s="71"/>
      <c r="Y34" s="115"/>
      <c r="Z34" s="52" t="s">
        <v>20</v>
      </c>
      <c r="AA34" s="149" t="s">
        <v>46</v>
      </c>
    </row>
    <row r="35" spans="1:27" ht="19.5" customHeight="1">
      <c r="B35" s="340"/>
      <c r="C35" s="152" t="s">
        <v>45</v>
      </c>
      <c r="D35" s="89">
        <v>44611</v>
      </c>
      <c r="E35" s="90" t="s">
        <v>23</v>
      </c>
      <c r="F35" s="133">
        <v>30</v>
      </c>
      <c r="G35" s="134">
        <f t="shared" si="6"/>
        <v>17</v>
      </c>
      <c r="H35" s="92"/>
      <c r="I35" s="135">
        <f t="shared" si="7"/>
        <v>13</v>
      </c>
      <c r="J35" s="356">
        <f>2+1</f>
        <v>3</v>
      </c>
      <c r="K35" s="357"/>
      <c r="L35" s="358"/>
      <c r="M35" s="356">
        <f>6-4+1</f>
        <v>3</v>
      </c>
      <c r="N35" s="357"/>
      <c r="O35" s="358"/>
      <c r="P35" s="356">
        <f>1+1+1+1+1+2</f>
        <v>7</v>
      </c>
      <c r="Q35" s="357"/>
      <c r="R35" s="358"/>
      <c r="S35" s="356"/>
      <c r="T35" s="357"/>
      <c r="U35" s="358"/>
      <c r="V35" s="98">
        <v>44599</v>
      </c>
      <c r="W35" s="98"/>
      <c r="X35" s="153"/>
      <c r="Y35" s="72"/>
      <c r="Z35" s="154" t="s">
        <v>24</v>
      </c>
      <c r="AA35" s="155" t="s">
        <v>44</v>
      </c>
    </row>
    <row r="36" spans="1:27" ht="19.5" customHeight="1">
      <c r="B36" s="349" t="s">
        <v>47</v>
      </c>
      <c r="C36" s="54" t="str">
        <f>B36</f>
        <v>ガス溶接</v>
      </c>
      <c r="D36" s="55">
        <v>44491</v>
      </c>
      <c r="E36" s="112" t="s">
        <v>7</v>
      </c>
      <c r="F36" s="56">
        <v>45</v>
      </c>
      <c r="G36" s="83">
        <f t="shared" si="6"/>
        <v>0</v>
      </c>
      <c r="H36" s="45"/>
      <c r="I36" s="57">
        <f t="shared" si="7"/>
        <v>45</v>
      </c>
      <c r="J36" s="359">
        <f>2+15+1+19+1-1+1-1+1+1-1+3</f>
        <v>41</v>
      </c>
      <c r="K36" s="360"/>
      <c r="L36" s="361"/>
      <c r="M36" s="359">
        <f>1+1+1</f>
        <v>3</v>
      </c>
      <c r="N36" s="360"/>
      <c r="O36" s="362"/>
      <c r="P36" s="359">
        <v>1</v>
      </c>
      <c r="Q36" s="360"/>
      <c r="R36" s="361"/>
      <c r="S36" s="359"/>
      <c r="T36" s="360"/>
      <c r="U36" s="361"/>
      <c r="V36" s="61">
        <v>44452</v>
      </c>
      <c r="W36" s="61" t="s">
        <v>621</v>
      </c>
      <c r="Y36" s="156"/>
      <c r="Z36" s="157" t="s">
        <v>25</v>
      </c>
      <c r="AA36" s="158" t="s">
        <v>48</v>
      </c>
    </row>
    <row r="37" spans="1:27" ht="19.5" customHeight="1">
      <c r="B37" s="340"/>
      <c r="C37" s="88" t="str">
        <f>B36</f>
        <v>ガス溶接</v>
      </c>
      <c r="D37" s="89">
        <v>44589</v>
      </c>
      <c r="E37" s="42" t="s">
        <v>7</v>
      </c>
      <c r="F37" s="95">
        <v>30</v>
      </c>
      <c r="G37" s="66">
        <f t="shared" si="6"/>
        <v>18</v>
      </c>
      <c r="H37" s="45"/>
      <c r="I37" s="159">
        <f t="shared" si="7"/>
        <v>12</v>
      </c>
      <c r="J37" s="363">
        <f>17+1-1+1+1-1+1-17+1-1+1-1</f>
        <v>2</v>
      </c>
      <c r="K37" s="364"/>
      <c r="L37" s="365"/>
      <c r="M37" s="363">
        <f>1+4+1+1+1</f>
        <v>8</v>
      </c>
      <c r="N37" s="364"/>
      <c r="O37" s="371"/>
      <c r="P37" s="363">
        <v>2</v>
      </c>
      <c r="Q37" s="364"/>
      <c r="R37" s="365"/>
      <c r="S37" s="363"/>
      <c r="T37" s="364"/>
      <c r="U37" s="365"/>
      <c r="V37" s="71">
        <v>44585</v>
      </c>
      <c r="W37" s="71"/>
      <c r="Y37" s="72"/>
      <c r="Z37" s="62" t="s">
        <v>25</v>
      </c>
      <c r="AA37" s="53" t="s">
        <v>48</v>
      </c>
    </row>
    <row r="38" spans="1:27" ht="19.5" customHeight="1">
      <c r="B38" s="160"/>
      <c r="C38" s="7"/>
      <c r="D38" s="161"/>
      <c r="E38" s="102"/>
      <c r="F38" s="123"/>
      <c r="G38" s="124" t="s">
        <v>5</v>
      </c>
      <c r="H38" s="162"/>
      <c r="I38" s="125" t="s">
        <v>6</v>
      </c>
      <c r="J38" s="341" t="s">
        <v>7</v>
      </c>
      <c r="K38" s="342"/>
      <c r="L38" s="343"/>
      <c r="M38" s="341" t="s">
        <v>8</v>
      </c>
      <c r="N38" s="342"/>
      <c r="O38" s="344"/>
      <c r="P38" s="341" t="s">
        <v>9</v>
      </c>
      <c r="Q38" s="342"/>
      <c r="R38" s="343"/>
      <c r="S38" s="341" t="s">
        <v>10</v>
      </c>
      <c r="T38" s="342"/>
      <c r="U38" s="343"/>
      <c r="V38" s="163" t="s">
        <v>11</v>
      </c>
      <c r="W38" s="163"/>
      <c r="X38" s="153"/>
      <c r="Y38" s="164" t="s">
        <v>13</v>
      </c>
      <c r="Z38" s="165"/>
      <c r="AA38" s="165"/>
    </row>
    <row r="39" spans="1:27" ht="19.5" customHeight="1">
      <c r="B39" s="349" t="s">
        <v>49</v>
      </c>
      <c r="C39" s="54" t="str">
        <f>B39</f>
        <v>ﾌﾙ･ﾊｰﾈｽ</v>
      </c>
      <c r="D39" s="139">
        <v>44331</v>
      </c>
      <c r="E39" s="112" t="s">
        <v>23</v>
      </c>
      <c r="F39" s="166">
        <v>33</v>
      </c>
      <c r="G39" s="83">
        <f t="shared" ref="G39:G48" si="8">F39-I39</f>
        <v>1</v>
      </c>
      <c r="H39" s="3"/>
      <c r="I39" s="156">
        <f t="shared" ref="I39:I50" si="9">SUM(J39:U39)</f>
        <v>32</v>
      </c>
      <c r="J39" s="390">
        <f>1+2+6-2+2-1+1-1</f>
        <v>8</v>
      </c>
      <c r="K39" s="390"/>
      <c r="L39" s="390"/>
      <c r="M39" s="390">
        <f>5+1+1</f>
        <v>7</v>
      </c>
      <c r="N39" s="390"/>
      <c r="O39" s="391"/>
      <c r="P39" s="390">
        <f>9+4+1+2+3-2</f>
        <v>17</v>
      </c>
      <c r="Q39" s="390"/>
      <c r="R39" s="390"/>
      <c r="S39" s="390"/>
      <c r="T39" s="390"/>
      <c r="U39" s="390"/>
      <c r="V39" s="167">
        <v>44335</v>
      </c>
      <c r="W39" s="167"/>
      <c r="Y39" s="156"/>
      <c r="Z39" s="168" t="s">
        <v>24</v>
      </c>
      <c r="AA39" s="34"/>
    </row>
    <row r="40" spans="1:27" ht="19.5" customHeight="1">
      <c r="B40" s="339"/>
      <c r="C40" s="54"/>
      <c r="D40" s="247">
        <v>44352</v>
      </c>
      <c r="E40" s="248" t="s">
        <v>7</v>
      </c>
      <c r="F40" s="249">
        <v>40</v>
      </c>
      <c r="G40" s="83">
        <f t="shared" si="8"/>
        <v>10</v>
      </c>
      <c r="H40" s="3"/>
      <c r="I40" s="51">
        <f t="shared" si="9"/>
        <v>30</v>
      </c>
      <c r="J40" s="346">
        <f>14+20+3-8+1</f>
        <v>30</v>
      </c>
      <c r="K40" s="347"/>
      <c r="L40" s="352"/>
      <c r="M40" s="346"/>
      <c r="N40" s="347"/>
      <c r="O40" s="352"/>
      <c r="P40" s="346"/>
      <c r="Q40" s="347"/>
      <c r="R40" s="352"/>
      <c r="S40" s="346"/>
      <c r="T40" s="347"/>
      <c r="U40" s="352"/>
      <c r="V40" s="167">
        <v>44335</v>
      </c>
      <c r="W40" s="167"/>
      <c r="Y40" s="156"/>
      <c r="Z40" s="52" t="s">
        <v>50</v>
      </c>
      <c r="AA40" s="34"/>
    </row>
    <row r="41" spans="1:27" ht="33" customHeight="1">
      <c r="B41" s="339"/>
      <c r="C41" s="54" t="str">
        <f>B39</f>
        <v>ﾌﾙ･ﾊｰﾈｽ</v>
      </c>
      <c r="D41" s="251" t="s">
        <v>622</v>
      </c>
      <c r="E41" s="42" t="s">
        <v>7</v>
      </c>
      <c r="F41" s="169">
        <v>40</v>
      </c>
      <c r="G41" s="83">
        <f t="shared" si="8"/>
        <v>16</v>
      </c>
      <c r="H41" s="3"/>
      <c r="I41" s="51">
        <f t="shared" si="9"/>
        <v>24</v>
      </c>
      <c r="J41" s="376">
        <f>1-1+5+2+1+3+1+1+1+1-1</f>
        <v>14</v>
      </c>
      <c r="K41" s="376"/>
      <c r="L41" s="376"/>
      <c r="M41" s="376">
        <f>1+3+4-1</f>
        <v>7</v>
      </c>
      <c r="N41" s="376"/>
      <c r="O41" s="377"/>
      <c r="P41" s="376">
        <f>2+1</f>
        <v>3</v>
      </c>
      <c r="Q41" s="376"/>
      <c r="R41" s="376"/>
      <c r="S41" s="376"/>
      <c r="T41" s="376"/>
      <c r="U41" s="376"/>
      <c r="V41" s="170">
        <v>44454</v>
      </c>
      <c r="W41" s="170"/>
      <c r="Y41" s="51"/>
      <c r="Z41" s="52" t="s">
        <v>623</v>
      </c>
      <c r="AA41" s="171"/>
    </row>
    <row r="42" spans="1:27" ht="19.5" customHeight="1">
      <c r="B42" s="339"/>
      <c r="C42" s="54" t="str">
        <f t="shared" ref="C42" si="10">B39</f>
        <v>ﾌﾙ･ﾊｰﾈｽ</v>
      </c>
      <c r="D42" s="172">
        <v>44533</v>
      </c>
      <c r="E42" s="42" t="s">
        <v>23</v>
      </c>
      <c r="F42" s="254">
        <v>45</v>
      </c>
      <c r="G42" s="83">
        <f t="shared" si="8"/>
        <v>0</v>
      </c>
      <c r="H42" s="3"/>
      <c r="I42" s="51">
        <f t="shared" si="9"/>
        <v>45</v>
      </c>
      <c r="J42" s="376">
        <f>1+3+2-2+1-1+1+1+3+3+1+1</f>
        <v>14</v>
      </c>
      <c r="K42" s="376"/>
      <c r="L42" s="376"/>
      <c r="M42" s="376">
        <f>10+2-2+3</f>
        <v>13</v>
      </c>
      <c r="N42" s="376"/>
      <c r="O42" s="377"/>
      <c r="P42" s="376">
        <f>3+3+2+1+2+2+1+2+1+1+1-1</f>
        <v>18</v>
      </c>
      <c r="Q42" s="376"/>
      <c r="R42" s="376"/>
      <c r="S42" s="376"/>
      <c r="T42" s="376"/>
      <c r="U42" s="376"/>
      <c r="V42" s="170">
        <v>44529</v>
      </c>
      <c r="W42" s="170"/>
      <c r="Y42" s="51"/>
      <c r="Z42" s="52" t="s">
        <v>24</v>
      </c>
      <c r="AA42" s="171"/>
    </row>
    <row r="43" spans="1:27">
      <c r="A43" s="2" t="s">
        <v>51</v>
      </c>
      <c r="B43" s="339"/>
      <c r="C43" s="54" t="str">
        <f>B39</f>
        <v>ﾌﾙ･ﾊｰﾈｽ</v>
      </c>
      <c r="D43" s="41">
        <v>44610</v>
      </c>
      <c r="E43" s="42" t="s">
        <v>7</v>
      </c>
      <c r="F43" s="56">
        <v>61</v>
      </c>
      <c r="G43" s="83">
        <f t="shared" si="8"/>
        <v>1</v>
      </c>
      <c r="H43" s="3"/>
      <c r="I43" s="51">
        <f t="shared" si="9"/>
        <v>60</v>
      </c>
      <c r="J43" s="376">
        <f>1+1+2+1+1+3+9-3+9+1+2+2+2+1+4+1+2+1+2+1-1+2-1</f>
        <v>43</v>
      </c>
      <c r="K43" s="376"/>
      <c r="L43" s="376"/>
      <c r="M43" s="376">
        <f>3+4</f>
        <v>7</v>
      </c>
      <c r="N43" s="376"/>
      <c r="O43" s="377"/>
      <c r="P43" s="376">
        <f>1+1+1+5+2</f>
        <v>10</v>
      </c>
      <c r="Q43" s="376"/>
      <c r="R43" s="376"/>
      <c r="S43" s="376"/>
      <c r="T43" s="376"/>
      <c r="U43" s="376"/>
      <c r="V43" s="170">
        <v>44613</v>
      </c>
      <c r="W43" s="170"/>
      <c r="Y43" s="51"/>
      <c r="Z43" s="62" t="s">
        <v>25</v>
      </c>
      <c r="AA43" s="171"/>
    </row>
    <row r="44" spans="1:27" ht="17.5" customHeight="1">
      <c r="B44" s="339"/>
      <c r="C44" s="54" t="str">
        <f>B39</f>
        <v>ﾌﾙ･ﾊｰﾈｽ</v>
      </c>
      <c r="D44" s="41">
        <v>44631</v>
      </c>
      <c r="E44" s="42" t="s">
        <v>23</v>
      </c>
      <c r="F44" s="169">
        <v>30</v>
      </c>
      <c r="G44" s="83">
        <f t="shared" si="8"/>
        <v>13</v>
      </c>
      <c r="H44" s="3"/>
      <c r="I44" s="51">
        <f t="shared" si="9"/>
        <v>17</v>
      </c>
      <c r="J44" s="376">
        <f>1+1+1+1-1+1+1+1+1</f>
        <v>7</v>
      </c>
      <c r="K44" s="376"/>
      <c r="L44" s="376"/>
      <c r="M44" s="376">
        <f>1+1+3+3+1</f>
        <v>9</v>
      </c>
      <c r="N44" s="376"/>
      <c r="O44" s="377"/>
      <c r="P44" s="376">
        <v>1</v>
      </c>
      <c r="Q44" s="376"/>
      <c r="R44" s="376"/>
      <c r="S44" s="376"/>
      <c r="T44" s="376"/>
      <c r="U44" s="376"/>
      <c r="V44" s="170">
        <v>44627</v>
      </c>
      <c r="W44" s="170"/>
      <c r="Y44" s="51"/>
      <c r="Z44" s="52" t="s">
        <v>24</v>
      </c>
      <c r="AA44" s="171"/>
    </row>
    <row r="45" spans="1:27" hidden="1">
      <c r="B45" s="340"/>
      <c r="C45" s="88" t="str">
        <f>B39</f>
        <v>ﾌﾙ･ﾊｰﾈｽ</v>
      </c>
      <c r="D45" s="63"/>
      <c r="E45" s="90"/>
      <c r="F45" s="56">
        <v>40</v>
      </c>
      <c r="G45" s="66">
        <f t="shared" si="8"/>
        <v>40</v>
      </c>
      <c r="H45" s="3"/>
      <c r="I45" s="72">
        <f t="shared" si="9"/>
        <v>0</v>
      </c>
      <c r="J45" s="379"/>
      <c r="K45" s="379"/>
      <c r="L45" s="379"/>
      <c r="M45" s="379"/>
      <c r="N45" s="379"/>
      <c r="O45" s="380"/>
      <c r="P45" s="379"/>
      <c r="Q45" s="379"/>
      <c r="R45" s="379"/>
      <c r="S45" s="379"/>
      <c r="T45" s="379"/>
      <c r="U45" s="379"/>
      <c r="V45" s="173"/>
      <c r="W45" s="173"/>
      <c r="Y45" s="115"/>
      <c r="Z45" s="154"/>
      <c r="AA45" s="174"/>
    </row>
    <row r="46" spans="1:27">
      <c r="B46" s="366" t="s">
        <v>52</v>
      </c>
      <c r="C46" s="17" t="s">
        <v>53</v>
      </c>
      <c r="D46" s="139">
        <v>44337</v>
      </c>
      <c r="E46" s="140" t="s">
        <v>7</v>
      </c>
      <c r="F46" s="141">
        <v>40</v>
      </c>
      <c r="G46" s="142">
        <f t="shared" si="8"/>
        <v>21</v>
      </c>
      <c r="H46" s="3"/>
      <c r="I46" s="143">
        <f t="shared" si="9"/>
        <v>19</v>
      </c>
      <c r="J46" s="386">
        <f>1+1+1+1+1+1+1+1+1</f>
        <v>9</v>
      </c>
      <c r="K46" s="387"/>
      <c r="L46" s="388"/>
      <c r="M46" s="386">
        <f>2+1+1-1+1+1+1+1</f>
        <v>7</v>
      </c>
      <c r="N46" s="387"/>
      <c r="O46" s="389"/>
      <c r="P46" s="386">
        <f>1+2</f>
        <v>3</v>
      </c>
      <c r="Q46" s="387"/>
      <c r="R46" s="388"/>
      <c r="S46" s="386"/>
      <c r="T46" s="387"/>
      <c r="U46" s="388"/>
      <c r="V46" s="144">
        <v>44327</v>
      </c>
      <c r="W46" s="144"/>
      <c r="Y46" s="145"/>
      <c r="Z46" s="146" t="s">
        <v>50</v>
      </c>
      <c r="AA46" s="175"/>
    </row>
    <row r="47" spans="1:27" ht="19.5" customHeight="1">
      <c r="B47" s="381"/>
      <c r="C47" s="176" t="s">
        <v>53</v>
      </c>
      <c r="D47" s="41">
        <v>44396</v>
      </c>
      <c r="E47" s="42" t="s">
        <v>8</v>
      </c>
      <c r="F47" s="43">
        <v>20</v>
      </c>
      <c r="G47" s="44">
        <f t="shared" si="8"/>
        <v>6</v>
      </c>
      <c r="H47" s="3"/>
      <c r="I47" s="46">
        <f t="shared" si="9"/>
        <v>14</v>
      </c>
      <c r="J47" s="346">
        <f>1+1+1+1+1+1-1</f>
        <v>5</v>
      </c>
      <c r="K47" s="347"/>
      <c r="L47" s="352"/>
      <c r="M47" s="346">
        <f>3+1+1</f>
        <v>5</v>
      </c>
      <c r="N47" s="347"/>
      <c r="O47" s="348"/>
      <c r="P47" s="346">
        <f>1+3</f>
        <v>4</v>
      </c>
      <c r="Q47" s="347"/>
      <c r="R47" s="352"/>
      <c r="S47" s="346"/>
      <c r="T47" s="347"/>
      <c r="U47" s="352"/>
      <c r="V47" s="50">
        <v>44371</v>
      </c>
      <c r="W47" s="50"/>
      <c r="Y47" s="51"/>
      <c r="Z47" s="62" t="s">
        <v>54</v>
      </c>
      <c r="AA47" s="171"/>
    </row>
    <row r="48" spans="1:27" ht="19.5" customHeight="1">
      <c r="B48" s="340"/>
      <c r="C48" s="132" t="s">
        <v>53</v>
      </c>
      <c r="D48" s="89">
        <v>44502</v>
      </c>
      <c r="E48" s="90" t="s">
        <v>7</v>
      </c>
      <c r="F48" s="95">
        <v>40</v>
      </c>
      <c r="G48" s="91">
        <f t="shared" si="8"/>
        <v>18</v>
      </c>
      <c r="H48" s="3"/>
      <c r="I48" s="93">
        <f t="shared" si="9"/>
        <v>22</v>
      </c>
      <c r="J48" s="356">
        <f>1+3+1+1+1+1+3-1+1+1+1</f>
        <v>13</v>
      </c>
      <c r="K48" s="357"/>
      <c r="L48" s="378"/>
      <c r="M48" s="356">
        <f>1+2+1+1+2+1</f>
        <v>8</v>
      </c>
      <c r="N48" s="357"/>
      <c r="O48" s="358"/>
      <c r="P48" s="356">
        <v>1</v>
      </c>
      <c r="Q48" s="357"/>
      <c r="R48" s="378"/>
      <c r="S48" s="356"/>
      <c r="T48" s="357"/>
      <c r="U48" s="378"/>
      <c r="V48" s="98">
        <v>44489</v>
      </c>
      <c r="W48" s="98"/>
      <c r="Y48" s="72"/>
      <c r="Z48" s="253" t="s">
        <v>20</v>
      </c>
      <c r="AA48" s="177"/>
    </row>
    <row r="49" spans="2:27" ht="19.5" customHeight="1">
      <c r="B49" s="366" t="s">
        <v>55</v>
      </c>
      <c r="C49" s="54" t="s">
        <v>56</v>
      </c>
      <c r="D49" s="55">
        <v>44351</v>
      </c>
      <c r="E49" s="112" t="s">
        <v>7</v>
      </c>
      <c r="F49" s="56">
        <v>40</v>
      </c>
      <c r="G49" s="83">
        <f t="shared" si="6"/>
        <v>32</v>
      </c>
      <c r="H49" s="45"/>
      <c r="I49" s="57">
        <f t="shared" si="9"/>
        <v>8</v>
      </c>
      <c r="J49" s="359">
        <f>2+1+1+1+1</f>
        <v>6</v>
      </c>
      <c r="K49" s="360"/>
      <c r="L49" s="361"/>
      <c r="M49" s="359"/>
      <c r="N49" s="360"/>
      <c r="O49" s="362"/>
      <c r="P49" s="359">
        <f>1+1</f>
        <v>2</v>
      </c>
      <c r="Q49" s="360"/>
      <c r="R49" s="361"/>
      <c r="S49" s="359"/>
      <c r="T49" s="360"/>
      <c r="U49" s="361"/>
      <c r="V49" s="61">
        <v>44347</v>
      </c>
      <c r="W49" s="61"/>
      <c r="Y49" s="156"/>
      <c r="Z49" s="168" t="s">
        <v>50</v>
      </c>
      <c r="AA49" s="34"/>
    </row>
    <row r="50" spans="2:27" ht="19.5" customHeight="1">
      <c r="B50" s="340"/>
      <c r="C50" s="88" t="s">
        <v>56</v>
      </c>
      <c r="D50" s="89">
        <v>44505</v>
      </c>
      <c r="E50" s="42" t="s">
        <v>7</v>
      </c>
      <c r="F50" s="95">
        <v>40</v>
      </c>
      <c r="G50" s="91">
        <f t="shared" si="6"/>
        <v>33</v>
      </c>
      <c r="H50" s="45"/>
      <c r="I50" s="135">
        <f t="shared" si="9"/>
        <v>7</v>
      </c>
      <c r="J50" s="356">
        <f>1+1+1</f>
        <v>3</v>
      </c>
      <c r="K50" s="357"/>
      <c r="L50" s="378"/>
      <c r="M50" s="356"/>
      <c r="N50" s="357"/>
      <c r="O50" s="358"/>
      <c r="P50" s="356">
        <f>1+3</f>
        <v>4</v>
      </c>
      <c r="Q50" s="357"/>
      <c r="R50" s="378"/>
      <c r="S50" s="356"/>
      <c r="T50" s="357"/>
      <c r="U50" s="378"/>
      <c r="V50" s="98">
        <v>44490</v>
      </c>
      <c r="W50" s="98"/>
      <c r="Y50" s="72"/>
      <c r="Z50" s="137" t="s">
        <v>25</v>
      </c>
      <c r="AA50" s="177"/>
    </row>
    <row r="51" spans="2:27" ht="19.5" customHeight="1" thickBot="1">
      <c r="B51" s="120"/>
      <c r="C51" s="178"/>
      <c r="D51" s="179"/>
      <c r="E51" s="102" t="s">
        <v>3</v>
      </c>
      <c r="F51" s="123" t="s">
        <v>4</v>
      </c>
      <c r="G51" s="180" t="s">
        <v>37</v>
      </c>
      <c r="H51" s="12"/>
      <c r="I51" s="181" t="s">
        <v>6</v>
      </c>
      <c r="J51" s="341" t="s">
        <v>7</v>
      </c>
      <c r="K51" s="342"/>
      <c r="L51" s="343"/>
      <c r="M51" s="341" t="s">
        <v>8</v>
      </c>
      <c r="N51" s="342"/>
      <c r="O51" s="344"/>
      <c r="P51" s="341" t="s">
        <v>9</v>
      </c>
      <c r="Q51" s="342"/>
      <c r="R51" s="343"/>
      <c r="S51" s="341" t="s">
        <v>10</v>
      </c>
      <c r="T51" s="342"/>
      <c r="U51" s="343"/>
      <c r="V51" s="125" t="s">
        <v>11</v>
      </c>
      <c r="W51" s="125" t="str">
        <f>W3</f>
        <v>キャンセル待ち</v>
      </c>
    </row>
    <row r="56" spans="2:27">
      <c r="J56" s="2" t="s">
        <v>51</v>
      </c>
    </row>
  </sheetData>
  <mergeCells count="100">
    <mergeCell ref="S40:U40"/>
    <mergeCell ref="P40:R40"/>
    <mergeCell ref="M40:O40"/>
    <mergeCell ref="J40:L40"/>
    <mergeCell ref="J51:L51"/>
    <mergeCell ref="M51:O51"/>
    <mergeCell ref="P51:R51"/>
    <mergeCell ref="S51:U51"/>
    <mergeCell ref="J44:L44"/>
    <mergeCell ref="M44:O44"/>
    <mergeCell ref="P44:R44"/>
    <mergeCell ref="S44:U44"/>
    <mergeCell ref="J45:L45"/>
    <mergeCell ref="M45:O45"/>
    <mergeCell ref="P45:R45"/>
    <mergeCell ref="S45:U45"/>
    <mergeCell ref="B46:B48"/>
    <mergeCell ref="J46:L46"/>
    <mergeCell ref="M46:O46"/>
    <mergeCell ref="P46:R46"/>
    <mergeCell ref="S46:U46"/>
    <mergeCell ref="J47:L47"/>
    <mergeCell ref="M47:O47"/>
    <mergeCell ref="P47:R47"/>
    <mergeCell ref="S47:U47"/>
    <mergeCell ref="J48:L48"/>
    <mergeCell ref="M48:O48"/>
    <mergeCell ref="P48:R48"/>
    <mergeCell ref="S48:U48"/>
    <mergeCell ref="B49:B50"/>
    <mergeCell ref="J49:L49"/>
    <mergeCell ref="M49:O49"/>
    <mergeCell ref="P49:R49"/>
    <mergeCell ref="S49:U49"/>
    <mergeCell ref="J50:L50"/>
    <mergeCell ref="M50:O50"/>
    <mergeCell ref="P50:R50"/>
    <mergeCell ref="S50:U50"/>
    <mergeCell ref="S42:U42"/>
    <mergeCell ref="J43:L43"/>
    <mergeCell ref="M43:O43"/>
    <mergeCell ref="P43:R43"/>
    <mergeCell ref="S43:U43"/>
    <mergeCell ref="J38:L38"/>
    <mergeCell ref="M38:O38"/>
    <mergeCell ref="P38:R38"/>
    <mergeCell ref="S38:U38"/>
    <mergeCell ref="B39:B45"/>
    <mergeCell ref="J39:L39"/>
    <mergeCell ref="M39:O39"/>
    <mergeCell ref="P39:R39"/>
    <mergeCell ref="S39:U39"/>
    <mergeCell ref="J41:L41"/>
    <mergeCell ref="M41:O41"/>
    <mergeCell ref="P41:R41"/>
    <mergeCell ref="S41:U41"/>
    <mergeCell ref="J42:L42"/>
    <mergeCell ref="M42:O42"/>
    <mergeCell ref="P42:R42"/>
    <mergeCell ref="S35:U35"/>
    <mergeCell ref="B36:B37"/>
    <mergeCell ref="J36:L36"/>
    <mergeCell ref="M36:O36"/>
    <mergeCell ref="P36:R36"/>
    <mergeCell ref="S36:U36"/>
    <mergeCell ref="J37:L37"/>
    <mergeCell ref="B31:B35"/>
    <mergeCell ref="J31:L31"/>
    <mergeCell ref="M31:O31"/>
    <mergeCell ref="P31:R31"/>
    <mergeCell ref="S31:U31"/>
    <mergeCell ref="J32:L32"/>
    <mergeCell ref="M37:O37"/>
    <mergeCell ref="P37:R37"/>
    <mergeCell ref="S37:U37"/>
    <mergeCell ref="J34:L34"/>
    <mergeCell ref="M34:O34"/>
    <mergeCell ref="P34:R34"/>
    <mergeCell ref="J35:L35"/>
    <mergeCell ref="M35:O35"/>
    <mergeCell ref="P35:R35"/>
    <mergeCell ref="M32:O32"/>
    <mergeCell ref="P32:R32"/>
    <mergeCell ref="S32:U32"/>
    <mergeCell ref="J33:L33"/>
    <mergeCell ref="B22:B25"/>
    <mergeCell ref="J26:L26"/>
    <mergeCell ref="M26:O26"/>
    <mergeCell ref="P26:R26"/>
    <mergeCell ref="S26:U26"/>
    <mergeCell ref="B28:B30"/>
    <mergeCell ref="M33:O33"/>
    <mergeCell ref="P33:R33"/>
    <mergeCell ref="S33:U33"/>
    <mergeCell ref="B14:B20"/>
    <mergeCell ref="J3:L3"/>
    <mergeCell ref="M3:O3"/>
    <mergeCell ref="P3:R3"/>
    <mergeCell ref="S3:U3"/>
    <mergeCell ref="B6:B12"/>
  </mergeCells>
  <phoneticPr fontId="3"/>
  <conditionalFormatting sqref="G28:G33 G22:G23 G6:G12 G14:G20 G25:G26 G35 G49:G50">
    <cfRule type="cellIs" dxfId="47" priority="10" stopIfTrue="1" operator="lessThanOrEqual">
      <formula>3</formula>
    </cfRule>
  </conditionalFormatting>
  <conditionalFormatting sqref="G24">
    <cfRule type="cellIs" dxfId="46" priority="9" stopIfTrue="1" operator="lessThanOrEqual">
      <formula>3</formula>
    </cfRule>
  </conditionalFormatting>
  <conditionalFormatting sqref="G34">
    <cfRule type="cellIs" dxfId="45" priority="8" stopIfTrue="1" operator="lessThanOrEqual">
      <formula>3</formula>
    </cfRule>
  </conditionalFormatting>
  <conditionalFormatting sqref="G39 G45">
    <cfRule type="cellIs" dxfId="44" priority="7" stopIfTrue="1" operator="lessThanOrEqual">
      <formula>3</formula>
    </cfRule>
  </conditionalFormatting>
  <conditionalFormatting sqref="G36:G37">
    <cfRule type="cellIs" dxfId="43" priority="6" stopIfTrue="1" operator="lessThanOrEqual">
      <formula>3</formula>
    </cfRule>
  </conditionalFormatting>
  <conditionalFormatting sqref="G43:G44">
    <cfRule type="cellIs" dxfId="42" priority="5" stopIfTrue="1" operator="lessThanOrEqual">
      <formula>3</formula>
    </cfRule>
  </conditionalFormatting>
  <conditionalFormatting sqref="G46 G48">
    <cfRule type="cellIs" dxfId="41" priority="4" stopIfTrue="1" operator="lessThanOrEqual">
      <formula>3</formula>
    </cfRule>
  </conditionalFormatting>
  <conditionalFormatting sqref="G41:G42">
    <cfRule type="cellIs" dxfId="40" priority="3" stopIfTrue="1" operator="lessThanOrEqual">
      <formula>3</formula>
    </cfRule>
  </conditionalFormatting>
  <conditionalFormatting sqref="G47">
    <cfRule type="cellIs" dxfId="39" priority="2" stopIfTrue="1" operator="lessThanOrEqual">
      <formula>3</formula>
    </cfRule>
  </conditionalFormatting>
  <conditionalFormatting sqref="G40">
    <cfRule type="cellIs" dxfId="38" priority="1" stopIfTrue="1" operator="lessThanOrEqual">
      <formula>3</formula>
    </cfRule>
  </conditionalFormatting>
  <pageMargins left="0.49" right="0.24" top="0.28999999999999998" bottom="0.24" header="0.23" footer="0.2"/>
  <pageSetup paperSize="9" scale="82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4C35E-8209-4995-9D0F-BA7F50F51951}">
  <sheetPr codeName="Sheet11"/>
  <dimension ref="A1:U769"/>
  <sheetViews>
    <sheetView zoomScale="85" zoomScaleNormal="85" workbookViewId="0">
      <pane xSplit="1" ySplit="2" topLeftCell="B753" activePane="bottomRight" state="frozen"/>
      <selection activeCell="K19" sqref="K19"/>
      <selection pane="topRight" activeCell="K19" sqref="K19"/>
      <selection pane="bottomLeft" activeCell="K19" sqref="K19"/>
      <selection pane="bottomRight" activeCell="K19" sqref="K19"/>
    </sheetView>
  </sheetViews>
  <sheetFormatPr defaultColWidth="8.58203125" defaultRowHeight="13"/>
  <cols>
    <col min="1" max="1" width="10.58203125" style="182" bestFit="1" customWidth="1"/>
    <col min="2" max="2" width="8.58203125" style="183" bestFit="1" customWidth="1"/>
    <col min="3" max="5" width="8.58203125" style="184"/>
    <col min="6" max="6" width="8.5" style="182" bestFit="1" customWidth="1"/>
    <col min="7" max="7" width="4.83203125" style="186" bestFit="1" customWidth="1"/>
    <col min="8" max="8" width="10.08203125" style="184" bestFit="1" customWidth="1"/>
    <col min="9" max="9" width="4.83203125" style="184" bestFit="1" customWidth="1"/>
    <col min="10" max="16" width="12.58203125" style="184" customWidth="1"/>
    <col min="17" max="19" width="12.83203125" style="184" customWidth="1"/>
    <col min="20" max="20" width="21.58203125" style="184" hidden="1" customWidth="1"/>
    <col min="21" max="21" width="11.33203125" style="184" hidden="1" customWidth="1"/>
    <col min="22" max="22" width="11.75" style="184" customWidth="1"/>
    <col min="23" max="23" width="8.83203125" style="184" customWidth="1"/>
    <col min="24" max="16384" width="8.58203125" style="184"/>
  </cols>
  <sheetData>
    <row r="1" spans="1:20" ht="15" customHeight="1">
      <c r="A1" s="182" t="s">
        <v>57</v>
      </c>
      <c r="E1" s="185"/>
    </row>
    <row r="2" spans="1:20">
      <c r="A2" s="187" t="s">
        <v>58</v>
      </c>
      <c r="B2" s="188" t="s">
        <v>59</v>
      </c>
      <c r="C2" s="189" t="s">
        <v>60</v>
      </c>
      <c r="D2" s="189" t="s">
        <v>61</v>
      </c>
      <c r="E2" s="189" t="s">
        <v>62</v>
      </c>
      <c r="F2" s="190" t="s">
        <v>63</v>
      </c>
      <c r="G2" s="191" t="s">
        <v>64</v>
      </c>
      <c r="H2" s="192" t="s">
        <v>65</v>
      </c>
      <c r="I2" s="189" t="s">
        <v>66</v>
      </c>
      <c r="T2" s="189" t="s">
        <v>66</v>
      </c>
    </row>
    <row r="3" spans="1:20">
      <c r="A3" s="182">
        <v>44225</v>
      </c>
      <c r="B3" s="183">
        <v>0.45784722222222224</v>
      </c>
      <c r="C3" s="184" t="s">
        <v>67</v>
      </c>
      <c r="D3" s="184" t="s">
        <v>68</v>
      </c>
      <c r="E3" s="184" t="s">
        <v>69</v>
      </c>
      <c r="F3" s="182">
        <v>44331</v>
      </c>
      <c r="G3" s="186" t="s">
        <v>70</v>
      </c>
      <c r="H3" s="184" t="s">
        <v>71</v>
      </c>
      <c r="T3" s="184" t="s">
        <v>72</v>
      </c>
    </row>
    <row r="4" spans="1:20">
      <c r="A4" s="182">
        <v>44225</v>
      </c>
      <c r="B4" s="183">
        <v>0.46306712962962965</v>
      </c>
      <c r="C4" s="184" t="s">
        <v>73</v>
      </c>
      <c r="D4" s="184" t="s">
        <v>68</v>
      </c>
      <c r="E4" s="184" t="s">
        <v>45</v>
      </c>
      <c r="F4" s="182">
        <v>44310</v>
      </c>
      <c r="G4" s="186" t="s">
        <v>70</v>
      </c>
      <c r="H4" s="184" t="s">
        <v>71</v>
      </c>
      <c r="T4" s="184" t="s">
        <v>74</v>
      </c>
    </row>
    <row r="5" spans="1:20">
      <c r="A5" s="182">
        <v>44225</v>
      </c>
      <c r="B5" s="183">
        <v>0.46489583333333334</v>
      </c>
      <c r="C5" s="184" t="s">
        <v>73</v>
      </c>
      <c r="D5" s="184" t="s">
        <v>68</v>
      </c>
      <c r="E5" s="184" t="s">
        <v>19</v>
      </c>
      <c r="F5" s="182">
        <v>44300</v>
      </c>
      <c r="G5" s="186" t="s">
        <v>75</v>
      </c>
      <c r="H5" s="184" t="s">
        <v>76</v>
      </c>
      <c r="T5" s="184" t="s">
        <v>77</v>
      </c>
    </row>
    <row r="6" spans="1:20">
      <c r="A6" s="182">
        <v>44228</v>
      </c>
      <c r="B6" s="183">
        <v>0.4185532407407408</v>
      </c>
      <c r="C6" s="184" t="s">
        <v>67</v>
      </c>
      <c r="D6" s="184" t="s">
        <v>78</v>
      </c>
      <c r="E6" s="184" t="s">
        <v>45</v>
      </c>
      <c r="F6" s="182">
        <v>44310</v>
      </c>
      <c r="G6" s="186" t="s">
        <v>79</v>
      </c>
      <c r="H6" s="184" t="s">
        <v>80</v>
      </c>
    </row>
    <row r="7" spans="1:20">
      <c r="A7" s="182">
        <v>44228</v>
      </c>
      <c r="B7" s="183">
        <v>0.41870370370370374</v>
      </c>
      <c r="C7" s="184" t="s">
        <v>67</v>
      </c>
      <c r="D7" s="184" t="s">
        <v>78</v>
      </c>
      <c r="E7" s="184" t="s">
        <v>69</v>
      </c>
      <c r="F7" s="182">
        <v>44331</v>
      </c>
      <c r="G7" s="186" t="s">
        <v>81</v>
      </c>
      <c r="H7" s="184" t="s">
        <v>82</v>
      </c>
    </row>
    <row r="8" spans="1:20">
      <c r="A8" s="182">
        <v>44232</v>
      </c>
      <c r="B8" s="183">
        <v>0.41714120370370367</v>
      </c>
      <c r="C8" s="184" t="s">
        <v>67</v>
      </c>
      <c r="D8" s="184" t="s">
        <v>78</v>
      </c>
      <c r="E8" s="184" t="s">
        <v>69</v>
      </c>
      <c r="F8" s="182">
        <v>44331</v>
      </c>
      <c r="G8" s="186" t="s">
        <v>83</v>
      </c>
      <c r="H8" s="184" t="s">
        <v>84</v>
      </c>
    </row>
    <row r="9" spans="1:20">
      <c r="A9" s="182">
        <v>44237</v>
      </c>
      <c r="B9" s="183">
        <v>0.62376157407407407</v>
      </c>
      <c r="C9" s="184" t="s">
        <v>73</v>
      </c>
      <c r="D9" s="184" t="s">
        <v>78</v>
      </c>
      <c r="E9" s="184" t="s">
        <v>85</v>
      </c>
      <c r="F9" s="182">
        <v>44337</v>
      </c>
      <c r="G9" s="186" t="s">
        <v>70</v>
      </c>
      <c r="H9" s="184" t="s">
        <v>86</v>
      </c>
    </row>
    <row r="10" spans="1:20">
      <c r="A10" s="182">
        <v>44242</v>
      </c>
      <c r="B10" s="183">
        <v>0.45129629629629631</v>
      </c>
      <c r="C10" s="184" t="s">
        <v>67</v>
      </c>
      <c r="D10" s="184" t="s">
        <v>68</v>
      </c>
      <c r="E10" s="184" t="s">
        <v>19</v>
      </c>
      <c r="F10" s="182">
        <v>44300</v>
      </c>
      <c r="G10" s="186" t="s">
        <v>70</v>
      </c>
      <c r="H10" s="184" t="s">
        <v>87</v>
      </c>
      <c r="T10" s="184" t="s">
        <v>88</v>
      </c>
    </row>
    <row r="11" spans="1:20">
      <c r="A11" s="182">
        <v>44242</v>
      </c>
      <c r="B11" s="183">
        <v>0.64939814814814811</v>
      </c>
      <c r="C11" s="184" t="s">
        <v>73</v>
      </c>
      <c r="D11" s="184" t="s">
        <v>68</v>
      </c>
      <c r="E11" s="184" t="s">
        <v>89</v>
      </c>
      <c r="F11" s="182">
        <v>44351</v>
      </c>
      <c r="G11" s="186" t="s">
        <v>70</v>
      </c>
      <c r="H11" s="184" t="s">
        <v>71</v>
      </c>
      <c r="T11" s="184" t="s">
        <v>90</v>
      </c>
    </row>
    <row r="12" spans="1:20">
      <c r="A12" s="182">
        <v>44243</v>
      </c>
      <c r="B12" s="183">
        <v>0.49385416666666665</v>
      </c>
      <c r="C12" s="184" t="s">
        <v>67</v>
      </c>
      <c r="D12" s="184" t="s">
        <v>91</v>
      </c>
      <c r="E12" s="184" t="s">
        <v>85</v>
      </c>
      <c r="F12" s="182">
        <v>44337</v>
      </c>
      <c r="G12" s="186" t="s">
        <v>75</v>
      </c>
      <c r="H12" s="184" t="s">
        <v>92</v>
      </c>
    </row>
    <row r="13" spans="1:20">
      <c r="A13" s="182">
        <v>44243</v>
      </c>
      <c r="B13" s="183">
        <v>0.49405092592592598</v>
      </c>
      <c r="C13" s="184" t="s">
        <v>67</v>
      </c>
      <c r="D13" s="184" t="s">
        <v>91</v>
      </c>
      <c r="E13" s="184" t="s">
        <v>19</v>
      </c>
      <c r="F13" s="182">
        <v>44368</v>
      </c>
      <c r="G13" s="186" t="s">
        <v>70</v>
      </c>
      <c r="H13" s="184" t="s">
        <v>93</v>
      </c>
    </row>
    <row r="14" spans="1:20">
      <c r="A14" s="182">
        <v>44243</v>
      </c>
      <c r="B14" s="183">
        <v>0.67974537037037042</v>
      </c>
      <c r="C14" s="184" t="s">
        <v>67</v>
      </c>
      <c r="D14" s="184" t="s">
        <v>91</v>
      </c>
      <c r="E14" s="184" t="s">
        <v>19</v>
      </c>
      <c r="F14" s="182">
        <v>44368</v>
      </c>
      <c r="G14" s="186" t="s">
        <v>94</v>
      </c>
      <c r="H14" s="184" t="s">
        <v>92</v>
      </c>
    </row>
    <row r="15" spans="1:20">
      <c r="A15" s="182">
        <v>44243</v>
      </c>
      <c r="B15" s="183">
        <v>0.6799074074074074</v>
      </c>
      <c r="C15" s="184" t="s">
        <v>67</v>
      </c>
      <c r="D15" s="184" t="s">
        <v>91</v>
      </c>
      <c r="E15" s="184" t="s">
        <v>95</v>
      </c>
      <c r="F15" s="182">
        <v>44384</v>
      </c>
      <c r="G15" s="186" t="s">
        <v>70</v>
      </c>
      <c r="H15" s="184" t="s">
        <v>93</v>
      </c>
    </row>
    <row r="16" spans="1:20">
      <c r="A16" s="182">
        <v>44243</v>
      </c>
      <c r="B16" s="183">
        <v>0.68005787037037047</v>
      </c>
      <c r="C16" s="184" t="s">
        <v>67</v>
      </c>
      <c r="D16" s="184" t="s">
        <v>91</v>
      </c>
      <c r="E16" s="184" t="s">
        <v>96</v>
      </c>
      <c r="F16" s="182">
        <v>44452</v>
      </c>
      <c r="G16" s="186" t="s">
        <v>70</v>
      </c>
      <c r="H16" s="184" t="s">
        <v>93</v>
      </c>
    </row>
    <row r="17" spans="1:20">
      <c r="A17" s="182">
        <v>44246</v>
      </c>
      <c r="B17" s="183">
        <v>0.43784722222222222</v>
      </c>
      <c r="C17" s="184" t="s">
        <v>73</v>
      </c>
      <c r="D17" s="184" t="s">
        <v>68</v>
      </c>
      <c r="E17" s="184" t="s">
        <v>85</v>
      </c>
      <c r="F17" s="182">
        <v>44337</v>
      </c>
      <c r="G17" s="186" t="s">
        <v>70</v>
      </c>
      <c r="H17" s="184" t="s">
        <v>71</v>
      </c>
      <c r="T17" s="184" t="s">
        <v>97</v>
      </c>
    </row>
    <row r="18" spans="1:20">
      <c r="A18" s="182">
        <v>44246</v>
      </c>
      <c r="B18" s="183">
        <v>0.61598379629629629</v>
      </c>
      <c r="C18" s="184" t="s">
        <v>73</v>
      </c>
      <c r="D18" s="184" t="s">
        <v>78</v>
      </c>
      <c r="E18" s="184" t="s">
        <v>19</v>
      </c>
      <c r="F18" s="182">
        <v>44300</v>
      </c>
      <c r="G18" s="186" t="s">
        <v>70</v>
      </c>
      <c r="H18" s="184" t="s">
        <v>86</v>
      </c>
    </row>
    <row r="19" spans="1:20">
      <c r="A19" s="182">
        <v>44246</v>
      </c>
      <c r="B19" s="183">
        <v>0.6162037037037037</v>
      </c>
      <c r="C19" s="184" t="s">
        <v>73</v>
      </c>
      <c r="D19" s="184" t="s">
        <v>78</v>
      </c>
      <c r="E19" s="184" t="s">
        <v>45</v>
      </c>
      <c r="F19" s="182">
        <v>44310</v>
      </c>
      <c r="G19" s="186" t="s">
        <v>94</v>
      </c>
      <c r="H19" s="184" t="s">
        <v>98</v>
      </c>
    </row>
    <row r="20" spans="1:20">
      <c r="A20" s="182">
        <v>44246</v>
      </c>
      <c r="B20" s="183">
        <v>0.63616898148148149</v>
      </c>
      <c r="C20" s="184" t="s">
        <v>73</v>
      </c>
      <c r="D20" s="184" t="s">
        <v>78</v>
      </c>
      <c r="E20" s="184" t="s">
        <v>96</v>
      </c>
      <c r="F20" s="182">
        <v>44508</v>
      </c>
      <c r="G20" s="186" t="s">
        <v>70</v>
      </c>
      <c r="H20" s="184" t="s">
        <v>86</v>
      </c>
    </row>
    <row r="21" spans="1:20">
      <c r="A21" s="182">
        <v>44249</v>
      </c>
      <c r="B21" s="183">
        <v>0.66500000000000004</v>
      </c>
      <c r="C21" s="184" t="s">
        <v>73</v>
      </c>
      <c r="D21" s="184" t="s">
        <v>78</v>
      </c>
      <c r="E21" s="184" t="s">
        <v>89</v>
      </c>
      <c r="F21" s="182">
        <v>44351</v>
      </c>
      <c r="G21" s="186" t="s">
        <v>70</v>
      </c>
      <c r="H21" s="184" t="s">
        <v>86</v>
      </c>
    </row>
    <row r="22" spans="1:20">
      <c r="A22" s="182">
        <v>44251</v>
      </c>
      <c r="B22" s="183">
        <v>0.60774305555555552</v>
      </c>
      <c r="C22" s="184" t="s">
        <v>73</v>
      </c>
      <c r="D22" s="184" t="s">
        <v>68</v>
      </c>
      <c r="E22" s="184" t="s">
        <v>19</v>
      </c>
      <c r="F22" s="182">
        <v>44300</v>
      </c>
      <c r="G22" s="186" t="s">
        <v>99</v>
      </c>
      <c r="H22" s="184" t="s">
        <v>76</v>
      </c>
      <c r="T22" s="184" t="s">
        <v>77</v>
      </c>
    </row>
    <row r="23" spans="1:20">
      <c r="A23" s="182">
        <v>44252</v>
      </c>
      <c r="B23" s="183">
        <v>0.45730324074074075</v>
      </c>
      <c r="C23" s="184" t="s">
        <v>67</v>
      </c>
      <c r="D23" s="184" t="s">
        <v>91</v>
      </c>
      <c r="E23" s="184" t="s">
        <v>19</v>
      </c>
      <c r="F23" s="182">
        <v>44300</v>
      </c>
      <c r="G23" s="186" t="s">
        <v>70</v>
      </c>
      <c r="H23" s="184" t="s">
        <v>93</v>
      </c>
    </row>
    <row r="24" spans="1:20">
      <c r="A24" s="182">
        <v>44252</v>
      </c>
      <c r="B24" s="183">
        <v>0.45842592592592596</v>
      </c>
      <c r="C24" s="184" t="s">
        <v>67</v>
      </c>
      <c r="D24" s="184" t="s">
        <v>91</v>
      </c>
      <c r="E24" s="184" t="s">
        <v>45</v>
      </c>
      <c r="F24" s="182">
        <v>44310</v>
      </c>
      <c r="G24" s="186" t="s">
        <v>70</v>
      </c>
      <c r="H24" s="184" t="s">
        <v>93</v>
      </c>
    </row>
    <row r="25" spans="1:20">
      <c r="A25" s="182">
        <v>44252</v>
      </c>
      <c r="B25" s="183">
        <v>0.64050925925925928</v>
      </c>
      <c r="C25" s="184" t="s">
        <v>67</v>
      </c>
      <c r="D25" s="184" t="s">
        <v>68</v>
      </c>
      <c r="E25" s="184" t="s">
        <v>19</v>
      </c>
      <c r="F25" s="182">
        <v>44300</v>
      </c>
      <c r="G25" s="186" t="s">
        <v>94</v>
      </c>
      <c r="H25" s="184" t="s">
        <v>87</v>
      </c>
      <c r="T25" s="184" t="s">
        <v>100</v>
      </c>
    </row>
    <row r="26" spans="1:20">
      <c r="A26" s="182">
        <v>44253</v>
      </c>
      <c r="B26" s="183">
        <v>0.59130787037037036</v>
      </c>
      <c r="C26" s="184" t="s">
        <v>73</v>
      </c>
      <c r="D26" s="184" t="s">
        <v>68</v>
      </c>
      <c r="E26" s="184" t="s">
        <v>19</v>
      </c>
      <c r="F26" s="182">
        <v>44300</v>
      </c>
      <c r="G26" s="186" t="s">
        <v>94</v>
      </c>
      <c r="H26" s="184" t="s">
        <v>101</v>
      </c>
      <c r="T26" s="184" t="s">
        <v>102</v>
      </c>
    </row>
    <row r="27" spans="1:20">
      <c r="A27" s="182">
        <v>44253</v>
      </c>
      <c r="B27" s="183">
        <v>0.5920023148148148</v>
      </c>
      <c r="C27" s="184" t="s">
        <v>73</v>
      </c>
      <c r="D27" s="184" t="s">
        <v>68</v>
      </c>
      <c r="E27" s="184" t="s">
        <v>45</v>
      </c>
      <c r="F27" s="182">
        <v>44310</v>
      </c>
      <c r="G27" s="186" t="s">
        <v>83</v>
      </c>
      <c r="H27" s="184" t="s">
        <v>103</v>
      </c>
      <c r="T27" s="184" t="s">
        <v>104</v>
      </c>
    </row>
    <row r="28" spans="1:20">
      <c r="A28" s="182">
        <v>44256</v>
      </c>
      <c r="B28" s="183">
        <v>0.3797106481481482</v>
      </c>
      <c r="C28" s="184" t="s">
        <v>73</v>
      </c>
      <c r="D28" s="184" t="s">
        <v>78</v>
      </c>
      <c r="E28" s="184" t="s">
        <v>19</v>
      </c>
      <c r="F28" s="182">
        <v>44368</v>
      </c>
      <c r="G28" s="186" t="s">
        <v>105</v>
      </c>
      <c r="H28" s="184" t="s">
        <v>106</v>
      </c>
    </row>
    <row r="29" spans="1:20">
      <c r="A29" s="182">
        <v>44256</v>
      </c>
      <c r="B29" s="183">
        <v>0.37995370370370374</v>
      </c>
      <c r="C29" s="184" t="s">
        <v>73</v>
      </c>
      <c r="D29" s="184" t="s">
        <v>78</v>
      </c>
      <c r="E29" s="184" t="s">
        <v>96</v>
      </c>
      <c r="F29" s="182">
        <v>44452</v>
      </c>
      <c r="G29" s="186" t="s">
        <v>75</v>
      </c>
      <c r="H29" s="184" t="s">
        <v>107</v>
      </c>
    </row>
    <row r="30" spans="1:20">
      <c r="A30" s="182">
        <v>44256</v>
      </c>
      <c r="B30" s="183">
        <v>0.60747685185185185</v>
      </c>
      <c r="C30" s="184" t="s">
        <v>73</v>
      </c>
      <c r="D30" s="184" t="s">
        <v>68</v>
      </c>
      <c r="E30" s="184" t="s">
        <v>96</v>
      </c>
      <c r="F30" s="182">
        <v>44334</v>
      </c>
      <c r="G30" s="186" t="s">
        <v>70</v>
      </c>
      <c r="H30" s="184" t="s">
        <v>71</v>
      </c>
      <c r="T30" s="184" t="s">
        <v>108</v>
      </c>
    </row>
    <row r="31" spans="1:20">
      <c r="A31" s="182">
        <v>44256</v>
      </c>
      <c r="B31" s="183">
        <v>0.61739583333333337</v>
      </c>
      <c r="C31" s="184" t="s">
        <v>73</v>
      </c>
      <c r="D31" s="184" t="s">
        <v>68</v>
      </c>
      <c r="E31" s="184" t="s">
        <v>19</v>
      </c>
      <c r="F31" s="182">
        <v>44300</v>
      </c>
      <c r="G31" s="186" t="s">
        <v>99</v>
      </c>
      <c r="H31" s="184" t="s">
        <v>87</v>
      </c>
      <c r="T31" s="184" t="s">
        <v>109</v>
      </c>
    </row>
    <row r="32" spans="1:20">
      <c r="A32" s="182">
        <v>44256</v>
      </c>
      <c r="B32" s="183">
        <v>0.64490740740740737</v>
      </c>
      <c r="C32" s="184" t="s">
        <v>73</v>
      </c>
      <c r="D32" s="184" t="s">
        <v>68</v>
      </c>
      <c r="E32" s="184" t="s">
        <v>96</v>
      </c>
      <c r="F32" s="182">
        <v>44334</v>
      </c>
      <c r="G32" s="186" t="s">
        <v>70</v>
      </c>
      <c r="H32" s="184" t="s">
        <v>76</v>
      </c>
      <c r="T32" s="184" t="s">
        <v>110</v>
      </c>
    </row>
    <row r="33" spans="1:20">
      <c r="A33" s="182">
        <v>44257</v>
      </c>
      <c r="B33" s="183">
        <v>0.44975694444444447</v>
      </c>
      <c r="C33" s="184" t="s">
        <v>67</v>
      </c>
      <c r="D33" s="184" t="s">
        <v>68</v>
      </c>
      <c r="E33" s="184" t="s">
        <v>96</v>
      </c>
      <c r="F33" s="182">
        <v>44334</v>
      </c>
      <c r="G33" s="186" t="s">
        <v>94</v>
      </c>
      <c r="H33" s="184" t="s">
        <v>87</v>
      </c>
      <c r="T33" s="184" t="s">
        <v>111</v>
      </c>
    </row>
    <row r="34" spans="1:20">
      <c r="A34" s="182">
        <v>44257</v>
      </c>
      <c r="B34" s="183">
        <v>0.59972222222222216</v>
      </c>
      <c r="C34" s="184" t="s">
        <v>67</v>
      </c>
      <c r="D34" s="184" t="s">
        <v>78</v>
      </c>
      <c r="E34" s="184" t="s">
        <v>19</v>
      </c>
      <c r="F34" s="182">
        <v>44300</v>
      </c>
      <c r="G34" s="186" t="s">
        <v>112</v>
      </c>
      <c r="H34" s="184" t="s">
        <v>113</v>
      </c>
    </row>
    <row r="35" spans="1:20">
      <c r="A35" s="182">
        <v>44257</v>
      </c>
      <c r="B35" s="183">
        <v>0.59988425925925926</v>
      </c>
      <c r="C35" s="184" t="s">
        <v>67</v>
      </c>
      <c r="D35" s="184" t="s">
        <v>78</v>
      </c>
      <c r="E35" s="184" t="s">
        <v>45</v>
      </c>
      <c r="F35" s="182">
        <v>44310</v>
      </c>
      <c r="G35" s="186" t="s">
        <v>114</v>
      </c>
      <c r="H35" s="184" t="s">
        <v>84</v>
      </c>
    </row>
    <row r="36" spans="1:20">
      <c r="A36" s="182">
        <v>44257</v>
      </c>
      <c r="B36" s="183">
        <v>0.60004629629629636</v>
      </c>
      <c r="C36" s="184" t="s">
        <v>67</v>
      </c>
      <c r="D36" s="184" t="s">
        <v>78</v>
      </c>
      <c r="E36" s="184" t="s">
        <v>96</v>
      </c>
      <c r="F36" s="182">
        <v>44334</v>
      </c>
      <c r="G36" s="186" t="s">
        <v>70</v>
      </c>
      <c r="H36" s="184" t="s">
        <v>86</v>
      </c>
    </row>
    <row r="37" spans="1:20">
      <c r="A37" s="182">
        <v>44257</v>
      </c>
      <c r="B37" s="183">
        <v>0.60033564814814822</v>
      </c>
      <c r="C37" s="184" t="s">
        <v>67</v>
      </c>
      <c r="D37" s="184" t="s">
        <v>78</v>
      </c>
      <c r="E37" s="184" t="s">
        <v>85</v>
      </c>
      <c r="F37" s="182">
        <v>44337</v>
      </c>
      <c r="G37" s="186" t="s">
        <v>114</v>
      </c>
      <c r="H37" s="184" t="s">
        <v>106</v>
      </c>
    </row>
    <row r="38" spans="1:20">
      <c r="A38" s="182">
        <v>44257</v>
      </c>
      <c r="B38" s="183">
        <v>0.60078703703703706</v>
      </c>
      <c r="C38" s="184" t="s">
        <v>67</v>
      </c>
      <c r="D38" s="184" t="s">
        <v>78</v>
      </c>
      <c r="E38" s="184" t="s">
        <v>19</v>
      </c>
      <c r="F38" s="182">
        <v>44300</v>
      </c>
      <c r="G38" s="186" t="s">
        <v>115</v>
      </c>
      <c r="H38" s="184" t="s">
        <v>107</v>
      </c>
    </row>
    <row r="39" spans="1:20">
      <c r="A39" s="182">
        <v>44257</v>
      </c>
      <c r="B39" s="183">
        <v>0.60094907407407405</v>
      </c>
      <c r="C39" s="184" t="s">
        <v>67</v>
      </c>
      <c r="D39" s="184" t="s">
        <v>78</v>
      </c>
      <c r="E39" s="184" t="s">
        <v>19</v>
      </c>
      <c r="F39" s="182">
        <v>44368</v>
      </c>
      <c r="G39" s="186" t="s">
        <v>94</v>
      </c>
      <c r="H39" s="184" t="s">
        <v>113</v>
      </c>
    </row>
    <row r="40" spans="1:20">
      <c r="A40" s="182">
        <v>44257</v>
      </c>
      <c r="B40" s="183">
        <v>0.601099537037037</v>
      </c>
      <c r="C40" s="184" t="s">
        <v>67</v>
      </c>
      <c r="D40" s="184" t="s">
        <v>78</v>
      </c>
      <c r="E40" s="184" t="s">
        <v>45</v>
      </c>
      <c r="F40" s="182">
        <v>44310</v>
      </c>
      <c r="G40" s="186" t="s">
        <v>99</v>
      </c>
      <c r="H40" s="184" t="s">
        <v>116</v>
      </c>
    </row>
    <row r="41" spans="1:20">
      <c r="A41" s="182">
        <v>44257</v>
      </c>
      <c r="B41" s="183">
        <v>0.60120370370370368</v>
      </c>
      <c r="C41" s="184" t="s">
        <v>67</v>
      </c>
      <c r="D41" s="184" t="s">
        <v>78</v>
      </c>
      <c r="E41" s="184" t="s">
        <v>45</v>
      </c>
      <c r="F41" s="182">
        <v>44358</v>
      </c>
      <c r="G41" s="186" t="s">
        <v>70</v>
      </c>
      <c r="H41" s="184" t="s">
        <v>86</v>
      </c>
    </row>
    <row r="42" spans="1:20">
      <c r="A42" s="182">
        <v>44258</v>
      </c>
      <c r="B42" s="183">
        <v>0.43673611111111116</v>
      </c>
      <c r="C42" s="184" t="s">
        <v>73</v>
      </c>
      <c r="D42" s="184" t="s">
        <v>68</v>
      </c>
      <c r="E42" s="184" t="s">
        <v>45</v>
      </c>
      <c r="F42" s="182">
        <v>44310</v>
      </c>
      <c r="G42" s="186" t="s">
        <v>114</v>
      </c>
      <c r="H42" s="184" t="s">
        <v>117</v>
      </c>
      <c r="T42" s="184" t="s">
        <v>118</v>
      </c>
    </row>
    <row r="43" spans="1:20">
      <c r="A43" s="182">
        <v>44258</v>
      </c>
      <c r="B43" s="183">
        <v>0.52560185185185182</v>
      </c>
      <c r="C43" s="184" t="s">
        <v>73</v>
      </c>
      <c r="D43" s="184" t="s">
        <v>91</v>
      </c>
      <c r="E43" s="184" t="s">
        <v>69</v>
      </c>
      <c r="F43" s="182">
        <v>44331</v>
      </c>
      <c r="G43" s="186" t="s">
        <v>119</v>
      </c>
      <c r="H43" s="184" t="s">
        <v>120</v>
      </c>
    </row>
    <row r="44" spans="1:20">
      <c r="A44" s="182">
        <v>44259</v>
      </c>
      <c r="B44" s="183">
        <v>0.48472222222222222</v>
      </c>
      <c r="C44" s="184" t="s">
        <v>67</v>
      </c>
      <c r="D44" s="184" t="s">
        <v>78</v>
      </c>
      <c r="E44" s="184" t="s">
        <v>96</v>
      </c>
      <c r="F44" s="182">
        <v>44334</v>
      </c>
      <c r="G44" s="186" t="s">
        <v>114</v>
      </c>
      <c r="H44" s="184" t="s">
        <v>106</v>
      </c>
    </row>
    <row r="45" spans="1:20">
      <c r="A45" s="182">
        <v>44260</v>
      </c>
      <c r="B45" s="183">
        <v>0.47758101851851853</v>
      </c>
      <c r="C45" s="184" t="s">
        <v>73</v>
      </c>
      <c r="D45" s="184" t="s">
        <v>68</v>
      </c>
      <c r="E45" s="184" t="s">
        <v>96</v>
      </c>
      <c r="F45" s="182">
        <v>44334</v>
      </c>
      <c r="G45" s="186" t="s">
        <v>99</v>
      </c>
      <c r="H45" s="184" t="s">
        <v>76</v>
      </c>
      <c r="T45" s="184" t="s">
        <v>121</v>
      </c>
    </row>
    <row r="46" spans="1:20">
      <c r="A46" s="182">
        <v>44260</v>
      </c>
      <c r="B46" s="183">
        <v>0.50732638888888892</v>
      </c>
      <c r="C46" s="184" t="s">
        <v>73</v>
      </c>
      <c r="D46" s="184" t="s">
        <v>68</v>
      </c>
      <c r="E46" s="184" t="s">
        <v>96</v>
      </c>
      <c r="F46" s="182">
        <v>44334</v>
      </c>
      <c r="G46" s="186" t="s">
        <v>94</v>
      </c>
      <c r="H46" s="184" t="s">
        <v>87</v>
      </c>
      <c r="T46" s="184" t="s">
        <v>110</v>
      </c>
    </row>
    <row r="47" spans="1:20">
      <c r="A47" s="182">
        <v>44260</v>
      </c>
      <c r="B47" s="183">
        <v>0.65670138888888896</v>
      </c>
      <c r="C47" s="184" t="s">
        <v>73</v>
      </c>
      <c r="D47" s="184" t="s">
        <v>68</v>
      </c>
      <c r="E47" s="184" t="s">
        <v>96</v>
      </c>
      <c r="F47" s="182">
        <v>44334</v>
      </c>
      <c r="G47" s="186" t="s">
        <v>94</v>
      </c>
      <c r="H47" s="184" t="s">
        <v>101</v>
      </c>
      <c r="T47" s="184" t="s">
        <v>122</v>
      </c>
    </row>
    <row r="48" spans="1:20">
      <c r="A48" s="182">
        <v>44263</v>
      </c>
      <c r="B48" s="183">
        <v>0.43766203703703704</v>
      </c>
      <c r="C48" s="184" t="s">
        <v>73</v>
      </c>
      <c r="D48" s="184" t="s">
        <v>68</v>
      </c>
      <c r="E48" s="184" t="s">
        <v>96</v>
      </c>
      <c r="F48" s="182">
        <v>44334</v>
      </c>
      <c r="G48" s="186" t="s">
        <v>94</v>
      </c>
      <c r="H48" s="184" t="s">
        <v>103</v>
      </c>
      <c r="T48" s="184" t="s">
        <v>123</v>
      </c>
    </row>
    <row r="49" spans="1:8">
      <c r="A49" s="182">
        <v>44263</v>
      </c>
      <c r="B49" s="183">
        <v>0.44971064814814815</v>
      </c>
      <c r="C49" s="184" t="s">
        <v>73</v>
      </c>
      <c r="D49" s="184" t="s">
        <v>91</v>
      </c>
      <c r="E49" s="184" t="s">
        <v>19</v>
      </c>
      <c r="F49" s="182">
        <v>44300</v>
      </c>
      <c r="G49" s="186" t="s">
        <v>70</v>
      </c>
      <c r="H49" s="184" t="s">
        <v>92</v>
      </c>
    </row>
    <row r="50" spans="1:8">
      <c r="A50" s="182">
        <v>44263</v>
      </c>
      <c r="B50" s="183">
        <v>0.68116898148148142</v>
      </c>
      <c r="C50" s="184" t="s">
        <v>73</v>
      </c>
      <c r="D50" s="184" t="s">
        <v>78</v>
      </c>
      <c r="E50" s="184" t="s">
        <v>19</v>
      </c>
      <c r="F50" s="182">
        <v>44300</v>
      </c>
      <c r="G50" s="186" t="s">
        <v>94</v>
      </c>
      <c r="H50" s="184" t="s">
        <v>106</v>
      </c>
    </row>
    <row r="51" spans="1:8">
      <c r="A51" s="182">
        <v>44263</v>
      </c>
      <c r="B51" s="183">
        <v>0.68133101851851852</v>
      </c>
      <c r="C51" s="184" t="s">
        <v>73</v>
      </c>
      <c r="D51" s="184" t="s">
        <v>78</v>
      </c>
      <c r="E51" s="184" t="s">
        <v>19</v>
      </c>
      <c r="F51" s="182">
        <v>44573</v>
      </c>
      <c r="G51" s="186" t="s">
        <v>70</v>
      </c>
      <c r="H51" s="184" t="s">
        <v>86</v>
      </c>
    </row>
    <row r="52" spans="1:8">
      <c r="A52" s="182">
        <v>44263</v>
      </c>
      <c r="B52" s="183">
        <v>0.68153935185185188</v>
      </c>
      <c r="C52" s="184" t="s">
        <v>73</v>
      </c>
      <c r="D52" s="184" t="s">
        <v>78</v>
      </c>
      <c r="E52" s="184" t="s">
        <v>124</v>
      </c>
      <c r="F52" s="182">
        <v>44491</v>
      </c>
      <c r="G52" s="186" t="s">
        <v>70</v>
      </c>
      <c r="H52" s="184" t="s">
        <v>86</v>
      </c>
    </row>
    <row r="53" spans="1:8">
      <c r="A53" s="182">
        <v>44263</v>
      </c>
      <c r="B53" s="183">
        <v>0.68177083333333333</v>
      </c>
      <c r="C53" s="184" t="s">
        <v>73</v>
      </c>
      <c r="D53" s="184" t="s">
        <v>78</v>
      </c>
      <c r="E53" s="184" t="s">
        <v>45</v>
      </c>
      <c r="F53" s="182">
        <v>44358</v>
      </c>
      <c r="G53" s="186" t="s">
        <v>94</v>
      </c>
      <c r="H53" s="184" t="s">
        <v>107</v>
      </c>
    </row>
    <row r="54" spans="1:8">
      <c r="A54" s="182">
        <v>44263</v>
      </c>
      <c r="B54" s="183">
        <v>0.68190972222222224</v>
      </c>
      <c r="C54" s="184" t="s">
        <v>73</v>
      </c>
      <c r="D54" s="184" t="s">
        <v>78</v>
      </c>
      <c r="E54" s="184" t="s">
        <v>45</v>
      </c>
      <c r="F54" s="182">
        <v>44526</v>
      </c>
      <c r="G54" s="186" t="s">
        <v>70</v>
      </c>
      <c r="H54" s="184" t="s">
        <v>86</v>
      </c>
    </row>
    <row r="55" spans="1:8">
      <c r="A55" s="182">
        <v>44265</v>
      </c>
      <c r="B55" s="183">
        <v>0.38327546296296294</v>
      </c>
      <c r="C55" s="184" t="s">
        <v>67</v>
      </c>
      <c r="D55" s="184" t="s">
        <v>91</v>
      </c>
      <c r="E55" s="184" t="s">
        <v>19</v>
      </c>
      <c r="F55" s="182">
        <v>44300</v>
      </c>
      <c r="G55" s="186" t="s">
        <v>99</v>
      </c>
      <c r="H55" s="184" t="s">
        <v>93</v>
      </c>
    </row>
    <row r="56" spans="1:8">
      <c r="A56" s="182">
        <v>44265</v>
      </c>
      <c r="B56" s="183">
        <v>0.38339120370370372</v>
      </c>
      <c r="C56" s="184" t="s">
        <v>67</v>
      </c>
      <c r="D56" s="184" t="s">
        <v>91</v>
      </c>
      <c r="E56" s="184" t="s">
        <v>19</v>
      </c>
      <c r="F56" s="182">
        <v>44300</v>
      </c>
      <c r="G56" s="186" t="s">
        <v>70</v>
      </c>
      <c r="H56" s="184" t="s">
        <v>92</v>
      </c>
    </row>
    <row r="57" spans="1:8">
      <c r="A57" s="182">
        <v>44265</v>
      </c>
      <c r="B57" s="183">
        <v>0.38359953703703703</v>
      </c>
      <c r="C57" s="184" t="s">
        <v>67</v>
      </c>
      <c r="D57" s="184" t="s">
        <v>91</v>
      </c>
      <c r="E57" s="184" t="s">
        <v>96</v>
      </c>
      <c r="F57" s="182">
        <v>44334</v>
      </c>
      <c r="G57" s="186" t="s">
        <v>75</v>
      </c>
      <c r="H57" s="184" t="s">
        <v>92</v>
      </c>
    </row>
    <row r="58" spans="1:8">
      <c r="A58" s="182">
        <v>44265</v>
      </c>
      <c r="B58" s="183">
        <v>0.68975694444444446</v>
      </c>
      <c r="C58" s="184" t="s">
        <v>67</v>
      </c>
      <c r="D58" s="184" t="s">
        <v>91</v>
      </c>
      <c r="E58" s="184" t="s">
        <v>19</v>
      </c>
      <c r="F58" s="182">
        <v>44300</v>
      </c>
      <c r="G58" s="186" t="s">
        <v>94</v>
      </c>
      <c r="H58" s="184" t="s">
        <v>227</v>
      </c>
    </row>
    <row r="59" spans="1:8">
      <c r="A59" s="182">
        <v>44265</v>
      </c>
      <c r="B59" s="183">
        <v>0.69</v>
      </c>
      <c r="C59" s="184" t="s">
        <v>67</v>
      </c>
      <c r="D59" s="184" t="s">
        <v>91</v>
      </c>
      <c r="E59" s="184" t="s">
        <v>19</v>
      </c>
      <c r="F59" s="182">
        <v>44300</v>
      </c>
      <c r="G59" s="186" t="s">
        <v>99</v>
      </c>
      <c r="H59" s="184" t="s">
        <v>92</v>
      </c>
    </row>
    <row r="60" spans="1:8">
      <c r="A60" s="182">
        <v>44265</v>
      </c>
      <c r="B60" s="183">
        <v>0.69035879629629626</v>
      </c>
      <c r="C60" s="184" t="s">
        <v>67</v>
      </c>
      <c r="D60" s="184" t="s">
        <v>91</v>
      </c>
      <c r="E60" s="184" t="s">
        <v>19</v>
      </c>
      <c r="F60" s="182">
        <v>44368</v>
      </c>
      <c r="G60" s="186" t="s">
        <v>94</v>
      </c>
      <c r="H60" s="184" t="s">
        <v>227</v>
      </c>
    </row>
    <row r="61" spans="1:8">
      <c r="A61" s="182">
        <v>44265</v>
      </c>
      <c r="B61" s="183">
        <v>0.69060185185185186</v>
      </c>
      <c r="C61" s="184" t="s">
        <v>67</v>
      </c>
      <c r="D61" s="184" t="s">
        <v>91</v>
      </c>
      <c r="E61" s="184" t="s">
        <v>124</v>
      </c>
      <c r="F61" s="182">
        <v>44491</v>
      </c>
      <c r="G61" s="186" t="s">
        <v>70</v>
      </c>
      <c r="H61" s="184" t="s">
        <v>93</v>
      </c>
    </row>
    <row r="62" spans="1:8">
      <c r="A62" s="182">
        <v>44266</v>
      </c>
      <c r="B62" s="183">
        <v>0.54622685185185182</v>
      </c>
      <c r="C62" s="184" t="s">
        <v>67</v>
      </c>
      <c r="D62" s="184" t="s">
        <v>91</v>
      </c>
      <c r="E62" s="184" t="s">
        <v>19</v>
      </c>
      <c r="F62" s="182">
        <v>44300</v>
      </c>
      <c r="G62" s="186" t="s">
        <v>94</v>
      </c>
      <c r="H62" s="184" t="s">
        <v>227</v>
      </c>
    </row>
    <row r="63" spans="1:8">
      <c r="A63" s="182">
        <v>44266</v>
      </c>
      <c r="B63" s="183">
        <v>0.54643518518518519</v>
      </c>
      <c r="C63" s="184" t="s">
        <v>67</v>
      </c>
      <c r="D63" s="184" t="s">
        <v>91</v>
      </c>
      <c r="E63" s="184" t="s">
        <v>96</v>
      </c>
      <c r="F63" s="182">
        <v>44334</v>
      </c>
      <c r="G63" s="186" t="s">
        <v>94</v>
      </c>
      <c r="H63" s="184" t="s">
        <v>227</v>
      </c>
    </row>
    <row r="64" spans="1:8">
      <c r="A64" s="182">
        <v>44266</v>
      </c>
      <c r="B64" s="183">
        <v>0.54693287037037031</v>
      </c>
      <c r="C64" s="184" t="s">
        <v>67</v>
      </c>
      <c r="D64" s="184" t="s">
        <v>78</v>
      </c>
      <c r="E64" s="184" t="s">
        <v>96</v>
      </c>
      <c r="F64" s="182">
        <v>44334</v>
      </c>
      <c r="G64" s="186" t="s">
        <v>75</v>
      </c>
      <c r="H64" s="184" t="s">
        <v>265</v>
      </c>
    </row>
    <row r="65" spans="1:20">
      <c r="A65" s="182">
        <v>44266</v>
      </c>
      <c r="B65" s="183">
        <v>0.64377314814814812</v>
      </c>
      <c r="C65" s="184" t="s">
        <v>67</v>
      </c>
      <c r="D65" s="184" t="s">
        <v>68</v>
      </c>
      <c r="E65" s="184" t="s">
        <v>19</v>
      </c>
      <c r="F65" s="182">
        <v>44300</v>
      </c>
      <c r="G65" s="186" t="s">
        <v>94</v>
      </c>
      <c r="H65" s="184" t="s">
        <v>101</v>
      </c>
      <c r="T65" s="184" t="s">
        <v>478</v>
      </c>
    </row>
    <row r="66" spans="1:20">
      <c r="A66" s="182">
        <v>44266</v>
      </c>
      <c r="B66" s="183">
        <v>0.64408564814814817</v>
      </c>
      <c r="C66" s="184" t="s">
        <v>67</v>
      </c>
      <c r="D66" s="184" t="s">
        <v>68</v>
      </c>
      <c r="E66" s="184" t="s">
        <v>96</v>
      </c>
      <c r="F66" s="182">
        <v>44334</v>
      </c>
      <c r="G66" s="186" t="s">
        <v>94</v>
      </c>
      <c r="H66" s="184" t="s">
        <v>182</v>
      </c>
      <c r="T66" s="184" t="s">
        <v>478</v>
      </c>
    </row>
    <row r="67" spans="1:20">
      <c r="A67" s="182">
        <v>44267</v>
      </c>
      <c r="B67" s="183">
        <v>0.59224537037037039</v>
      </c>
      <c r="C67" s="184" t="s">
        <v>67</v>
      </c>
      <c r="D67" s="184" t="s">
        <v>159</v>
      </c>
      <c r="E67" s="184" t="s">
        <v>96</v>
      </c>
      <c r="F67" s="182">
        <v>44398</v>
      </c>
      <c r="G67" s="186" t="s">
        <v>70</v>
      </c>
      <c r="H67" s="184" t="s">
        <v>216</v>
      </c>
    </row>
    <row r="68" spans="1:20">
      <c r="A68" s="182">
        <v>44267</v>
      </c>
      <c r="B68" s="183">
        <v>0.59384259259259264</v>
      </c>
      <c r="C68" s="184" t="s">
        <v>67</v>
      </c>
      <c r="D68" s="184" t="s">
        <v>91</v>
      </c>
      <c r="E68" s="184" t="s">
        <v>45</v>
      </c>
      <c r="F68" s="182">
        <v>44310</v>
      </c>
      <c r="G68" s="186" t="s">
        <v>114</v>
      </c>
      <c r="H68" s="184" t="s">
        <v>227</v>
      </c>
    </row>
    <row r="69" spans="1:20">
      <c r="A69" s="182">
        <v>44267</v>
      </c>
      <c r="B69" s="183">
        <v>0.5941319444444445</v>
      </c>
      <c r="C69" s="184" t="s">
        <v>67</v>
      </c>
      <c r="D69" s="184" t="s">
        <v>91</v>
      </c>
      <c r="E69" s="184" t="s">
        <v>85</v>
      </c>
      <c r="F69" s="182">
        <v>44337</v>
      </c>
      <c r="G69" s="186" t="s">
        <v>94</v>
      </c>
      <c r="H69" s="184" t="s">
        <v>227</v>
      </c>
    </row>
    <row r="70" spans="1:20">
      <c r="A70" s="182">
        <v>44267</v>
      </c>
      <c r="B70" s="183">
        <v>0.60653935185185182</v>
      </c>
      <c r="C70" s="184" t="s">
        <v>73</v>
      </c>
      <c r="D70" s="184" t="s">
        <v>68</v>
      </c>
      <c r="E70" s="184" t="s">
        <v>19</v>
      </c>
      <c r="F70" s="182">
        <v>44300</v>
      </c>
      <c r="G70" s="186" t="s">
        <v>70</v>
      </c>
      <c r="H70" s="184" t="s">
        <v>103</v>
      </c>
      <c r="T70" s="184" t="s">
        <v>479</v>
      </c>
    </row>
    <row r="71" spans="1:20">
      <c r="A71" s="182">
        <v>44270</v>
      </c>
      <c r="B71" s="183">
        <v>0.45164351851851853</v>
      </c>
      <c r="C71" s="184" t="s">
        <v>67</v>
      </c>
      <c r="D71" s="184" t="s">
        <v>68</v>
      </c>
      <c r="E71" s="184" t="s">
        <v>96</v>
      </c>
      <c r="F71" s="182">
        <v>44334</v>
      </c>
      <c r="G71" s="186" t="s">
        <v>94</v>
      </c>
      <c r="H71" s="184" t="s">
        <v>117</v>
      </c>
      <c r="T71" s="184" t="s">
        <v>480</v>
      </c>
    </row>
    <row r="72" spans="1:20">
      <c r="A72" s="182">
        <v>44270</v>
      </c>
      <c r="B72" s="183">
        <v>0.60300925925925919</v>
      </c>
      <c r="C72" s="184" t="s">
        <v>67</v>
      </c>
      <c r="D72" s="184" t="s">
        <v>68</v>
      </c>
      <c r="E72" s="184" t="s">
        <v>85</v>
      </c>
      <c r="F72" s="182">
        <v>44337</v>
      </c>
      <c r="G72" s="186" t="s">
        <v>94</v>
      </c>
      <c r="H72" s="184" t="s">
        <v>76</v>
      </c>
      <c r="T72" s="184" t="s">
        <v>481</v>
      </c>
    </row>
    <row r="73" spans="1:20">
      <c r="A73" s="182">
        <v>44271</v>
      </c>
      <c r="B73" s="183">
        <v>0.4511574074074074</v>
      </c>
      <c r="C73" s="184" t="s">
        <v>73</v>
      </c>
      <c r="D73" s="184" t="s">
        <v>68</v>
      </c>
      <c r="E73" s="184" t="s">
        <v>96</v>
      </c>
      <c r="F73" s="182">
        <v>44334</v>
      </c>
      <c r="G73" s="186" t="s">
        <v>94</v>
      </c>
      <c r="H73" s="184" t="s">
        <v>259</v>
      </c>
      <c r="T73" s="184" t="s">
        <v>122</v>
      </c>
    </row>
    <row r="74" spans="1:20">
      <c r="A74" s="182">
        <v>44271</v>
      </c>
      <c r="B74" s="183">
        <v>0.47901620370370374</v>
      </c>
      <c r="C74" s="184" t="s">
        <v>67</v>
      </c>
      <c r="D74" s="184" t="s">
        <v>78</v>
      </c>
      <c r="E74" s="184" t="s">
        <v>45</v>
      </c>
      <c r="F74" s="182">
        <v>44310</v>
      </c>
      <c r="G74" s="186" t="s">
        <v>94</v>
      </c>
      <c r="H74" s="184" t="s">
        <v>84</v>
      </c>
    </row>
    <row r="75" spans="1:20">
      <c r="A75" s="182">
        <v>44271</v>
      </c>
      <c r="B75" s="183">
        <v>0.47922453703703699</v>
      </c>
      <c r="C75" s="184" t="s">
        <v>67</v>
      </c>
      <c r="D75" s="184" t="s">
        <v>78</v>
      </c>
      <c r="E75" s="184" t="s">
        <v>19</v>
      </c>
      <c r="F75" s="182">
        <v>44368</v>
      </c>
      <c r="G75" s="186" t="s">
        <v>94</v>
      </c>
      <c r="H75" s="184" t="s">
        <v>265</v>
      </c>
    </row>
    <row r="76" spans="1:20">
      <c r="A76" s="182">
        <v>44271</v>
      </c>
      <c r="B76" s="183">
        <v>0.56332175925925931</v>
      </c>
      <c r="C76" s="184" t="s">
        <v>73</v>
      </c>
      <c r="D76" s="184" t="s">
        <v>68</v>
      </c>
      <c r="E76" s="184" t="s">
        <v>96</v>
      </c>
      <c r="F76" s="182">
        <v>44398</v>
      </c>
      <c r="G76" s="186" t="s">
        <v>70</v>
      </c>
      <c r="H76" s="184" t="s">
        <v>71</v>
      </c>
      <c r="T76" s="184" t="s">
        <v>384</v>
      </c>
    </row>
    <row r="77" spans="1:20">
      <c r="A77" s="182">
        <v>44271</v>
      </c>
      <c r="B77" s="183">
        <v>0.68769675925925933</v>
      </c>
      <c r="C77" s="184" t="s">
        <v>73</v>
      </c>
      <c r="D77" s="184" t="s">
        <v>68</v>
      </c>
      <c r="E77" s="184" t="s">
        <v>19</v>
      </c>
      <c r="F77" s="182">
        <v>44300</v>
      </c>
      <c r="G77" s="186" t="s">
        <v>114</v>
      </c>
      <c r="H77" s="184" t="s">
        <v>117</v>
      </c>
      <c r="T77" s="184" t="s">
        <v>482</v>
      </c>
    </row>
    <row r="78" spans="1:20">
      <c r="A78" s="182">
        <v>44271</v>
      </c>
      <c r="B78" s="183">
        <v>0.71821759259259255</v>
      </c>
      <c r="C78" s="184" t="s">
        <v>67</v>
      </c>
      <c r="D78" s="184" t="s">
        <v>68</v>
      </c>
      <c r="E78" s="184" t="s">
        <v>19</v>
      </c>
      <c r="F78" s="182">
        <v>44300</v>
      </c>
      <c r="G78" s="186" t="s">
        <v>94</v>
      </c>
      <c r="H78" s="184" t="s">
        <v>259</v>
      </c>
      <c r="T78" s="184" t="s">
        <v>483</v>
      </c>
    </row>
    <row r="79" spans="1:20">
      <c r="A79" s="182">
        <v>44272</v>
      </c>
      <c r="B79" s="183">
        <v>0.56868055555555552</v>
      </c>
      <c r="C79" s="184" t="s">
        <v>67</v>
      </c>
      <c r="D79" s="184" t="s">
        <v>91</v>
      </c>
      <c r="E79" s="184" t="s">
        <v>19</v>
      </c>
      <c r="F79" s="182">
        <v>44300</v>
      </c>
      <c r="G79" s="186" t="s">
        <v>94</v>
      </c>
      <c r="H79" s="184" t="s">
        <v>285</v>
      </c>
    </row>
    <row r="80" spans="1:20">
      <c r="A80" s="182">
        <v>44272</v>
      </c>
      <c r="B80" s="183">
        <v>0.56886574074074081</v>
      </c>
      <c r="C80" s="184" t="s">
        <v>67</v>
      </c>
      <c r="D80" s="184" t="s">
        <v>91</v>
      </c>
      <c r="E80" s="184" t="s">
        <v>85</v>
      </c>
      <c r="F80" s="182">
        <v>44337</v>
      </c>
      <c r="G80" s="186" t="s">
        <v>94</v>
      </c>
      <c r="H80" s="184" t="s">
        <v>285</v>
      </c>
    </row>
    <row r="81" spans="1:20">
      <c r="A81" s="182">
        <v>44272</v>
      </c>
      <c r="B81" s="183">
        <v>0.57347222222222227</v>
      </c>
      <c r="C81" s="184" t="s">
        <v>73</v>
      </c>
      <c r="D81" s="184" t="s">
        <v>68</v>
      </c>
      <c r="E81" s="184" t="s">
        <v>19</v>
      </c>
      <c r="F81" s="182">
        <v>44300</v>
      </c>
      <c r="G81" s="186" t="s">
        <v>94</v>
      </c>
      <c r="H81" s="184" t="s">
        <v>273</v>
      </c>
      <c r="T81" s="184" t="s">
        <v>118</v>
      </c>
    </row>
    <row r="82" spans="1:20">
      <c r="A82" s="182">
        <v>44272</v>
      </c>
      <c r="B82" s="183">
        <v>0.69038194444444445</v>
      </c>
      <c r="C82" s="184" t="s">
        <v>73</v>
      </c>
      <c r="D82" s="184" t="s">
        <v>91</v>
      </c>
      <c r="E82" s="184" t="s">
        <v>85</v>
      </c>
      <c r="F82" s="182">
        <v>44337</v>
      </c>
      <c r="G82" s="186" t="s">
        <v>99</v>
      </c>
      <c r="H82" s="184" t="s">
        <v>227</v>
      </c>
    </row>
    <row r="83" spans="1:20">
      <c r="A83" s="182">
        <v>44273</v>
      </c>
      <c r="B83" s="183">
        <v>0.49283564814814818</v>
      </c>
      <c r="C83" s="184" t="s">
        <v>67</v>
      </c>
      <c r="D83" s="184" t="s">
        <v>68</v>
      </c>
      <c r="E83" s="184" t="s">
        <v>96</v>
      </c>
      <c r="F83" s="182">
        <v>44334</v>
      </c>
      <c r="G83" s="186" t="s">
        <v>94</v>
      </c>
      <c r="H83" s="184" t="s">
        <v>273</v>
      </c>
      <c r="T83" s="184" t="s">
        <v>289</v>
      </c>
    </row>
    <row r="84" spans="1:20">
      <c r="A84" s="182">
        <v>44273</v>
      </c>
      <c r="B84" s="183">
        <v>0.49326388888888889</v>
      </c>
      <c r="C84" s="184" t="s">
        <v>67</v>
      </c>
      <c r="D84" s="184" t="s">
        <v>68</v>
      </c>
      <c r="E84" s="184" t="s">
        <v>96</v>
      </c>
      <c r="F84" s="182">
        <v>44452</v>
      </c>
      <c r="G84" s="186" t="s">
        <v>70</v>
      </c>
      <c r="H84" s="184" t="s">
        <v>71</v>
      </c>
      <c r="T84" s="184" t="s">
        <v>289</v>
      </c>
    </row>
    <row r="85" spans="1:20">
      <c r="A85" s="182">
        <v>44273</v>
      </c>
      <c r="B85" s="183">
        <v>0.49353009259259256</v>
      </c>
      <c r="C85" s="184" t="s">
        <v>67</v>
      </c>
      <c r="D85" s="184" t="s">
        <v>68</v>
      </c>
      <c r="E85" s="184" t="s">
        <v>19</v>
      </c>
      <c r="F85" s="182">
        <v>44368</v>
      </c>
      <c r="G85" s="186" t="s">
        <v>70</v>
      </c>
      <c r="H85" s="184" t="s">
        <v>71</v>
      </c>
      <c r="T85" s="184" t="s">
        <v>289</v>
      </c>
    </row>
    <row r="86" spans="1:20">
      <c r="A86" s="182">
        <v>44273</v>
      </c>
      <c r="B86" s="183">
        <v>0.49381944444444442</v>
      </c>
      <c r="C86" s="184" t="s">
        <v>67</v>
      </c>
      <c r="D86" s="184" t="s">
        <v>68</v>
      </c>
      <c r="E86" s="184" t="s">
        <v>45</v>
      </c>
      <c r="F86" s="182">
        <v>44358</v>
      </c>
      <c r="G86" s="186" t="s">
        <v>105</v>
      </c>
      <c r="H86" s="184" t="s">
        <v>87</v>
      </c>
      <c r="T86" s="184" t="s">
        <v>289</v>
      </c>
    </row>
    <row r="87" spans="1:20">
      <c r="A87" s="182">
        <v>44273</v>
      </c>
      <c r="B87" s="183">
        <v>0.57859953703703704</v>
      </c>
      <c r="C87" s="184" t="s">
        <v>67</v>
      </c>
      <c r="D87" s="184" t="s">
        <v>68</v>
      </c>
      <c r="E87" s="184" t="s">
        <v>19</v>
      </c>
      <c r="F87" s="182">
        <v>44300</v>
      </c>
      <c r="G87" s="186" t="s">
        <v>114</v>
      </c>
      <c r="H87" s="184" t="s">
        <v>260</v>
      </c>
      <c r="T87" s="184" t="s">
        <v>484</v>
      </c>
    </row>
    <row r="88" spans="1:20">
      <c r="A88" s="182">
        <v>44273</v>
      </c>
      <c r="B88" s="183">
        <v>0.69364583333333341</v>
      </c>
      <c r="C88" s="184" t="s">
        <v>67</v>
      </c>
      <c r="D88" s="184" t="s">
        <v>68</v>
      </c>
      <c r="E88" s="184" t="s">
        <v>19</v>
      </c>
      <c r="F88" s="182">
        <v>44300</v>
      </c>
      <c r="G88" s="186" t="s">
        <v>94</v>
      </c>
      <c r="H88" s="184" t="s">
        <v>256</v>
      </c>
      <c r="T88" s="184" t="s">
        <v>485</v>
      </c>
    </row>
    <row r="89" spans="1:20">
      <c r="A89" s="182">
        <v>44274</v>
      </c>
      <c r="B89" s="183">
        <v>0.44156250000000002</v>
      </c>
      <c r="C89" s="184" t="s">
        <v>73</v>
      </c>
      <c r="D89" s="184" t="s">
        <v>68</v>
      </c>
      <c r="E89" s="184" t="s">
        <v>96</v>
      </c>
      <c r="F89" s="182">
        <v>44334</v>
      </c>
      <c r="G89" s="186" t="s">
        <v>94</v>
      </c>
      <c r="H89" s="184" t="s">
        <v>261</v>
      </c>
      <c r="T89" s="184" t="s">
        <v>486</v>
      </c>
    </row>
    <row r="90" spans="1:20">
      <c r="A90" s="182">
        <v>44274</v>
      </c>
      <c r="B90" s="183">
        <v>0.47120370370370374</v>
      </c>
      <c r="C90" s="184" t="s">
        <v>73</v>
      </c>
      <c r="D90" s="184" t="s">
        <v>91</v>
      </c>
      <c r="E90" s="184" t="s">
        <v>19</v>
      </c>
      <c r="F90" s="182">
        <v>44300</v>
      </c>
      <c r="G90" s="186" t="s">
        <v>94</v>
      </c>
      <c r="H90" s="184" t="s">
        <v>120</v>
      </c>
    </row>
    <row r="91" spans="1:20">
      <c r="A91" s="182">
        <v>44274</v>
      </c>
      <c r="B91" s="183">
        <v>0.47144675925925927</v>
      </c>
      <c r="C91" s="184" t="s">
        <v>73</v>
      </c>
      <c r="D91" s="184" t="s">
        <v>91</v>
      </c>
      <c r="E91" s="184" t="s">
        <v>19</v>
      </c>
      <c r="F91" s="182">
        <v>44368</v>
      </c>
      <c r="G91" s="186" t="s">
        <v>94</v>
      </c>
      <c r="H91" s="184" t="s">
        <v>285</v>
      </c>
    </row>
    <row r="92" spans="1:20">
      <c r="A92" s="182">
        <v>44277</v>
      </c>
      <c r="B92" s="183">
        <v>0.40166666666666667</v>
      </c>
      <c r="C92" s="184" t="s">
        <v>73</v>
      </c>
      <c r="D92" s="184" t="s">
        <v>68</v>
      </c>
      <c r="E92" s="184" t="s">
        <v>96</v>
      </c>
      <c r="F92" s="182">
        <v>44334</v>
      </c>
      <c r="G92" s="186" t="s">
        <v>94</v>
      </c>
      <c r="H92" s="184" t="s">
        <v>260</v>
      </c>
      <c r="T92" s="184" t="s">
        <v>487</v>
      </c>
    </row>
    <row r="93" spans="1:20">
      <c r="A93" s="182">
        <v>44277</v>
      </c>
      <c r="B93" s="183">
        <v>0.46957175925925926</v>
      </c>
      <c r="C93" s="184" t="s">
        <v>73</v>
      </c>
      <c r="D93" s="184" t="s">
        <v>91</v>
      </c>
      <c r="E93" s="184" t="s">
        <v>19</v>
      </c>
      <c r="F93" s="182">
        <v>44300</v>
      </c>
      <c r="G93" s="186" t="s">
        <v>99</v>
      </c>
      <c r="H93" s="184" t="s">
        <v>285</v>
      </c>
    </row>
    <row r="94" spans="1:20">
      <c r="A94" s="182">
        <v>44277</v>
      </c>
      <c r="B94" s="183">
        <v>0.46978009259259257</v>
      </c>
      <c r="C94" s="184" t="s">
        <v>73</v>
      </c>
      <c r="D94" s="184" t="s">
        <v>91</v>
      </c>
      <c r="E94" s="184" t="s">
        <v>96</v>
      </c>
      <c r="F94" s="182">
        <v>44334</v>
      </c>
      <c r="G94" s="186" t="s">
        <v>94</v>
      </c>
      <c r="H94" s="184" t="s">
        <v>285</v>
      </c>
    </row>
    <row r="95" spans="1:20">
      <c r="A95" s="182">
        <v>44277</v>
      </c>
      <c r="B95" s="183">
        <v>0.64501157407407406</v>
      </c>
      <c r="C95" s="184" t="s">
        <v>73</v>
      </c>
      <c r="D95" s="184" t="s">
        <v>68</v>
      </c>
      <c r="E95" s="184" t="s">
        <v>96</v>
      </c>
      <c r="F95" s="182">
        <v>44334</v>
      </c>
      <c r="G95" s="186" t="s">
        <v>94</v>
      </c>
      <c r="H95" s="184" t="s">
        <v>256</v>
      </c>
      <c r="T95" s="184" t="s">
        <v>488</v>
      </c>
    </row>
    <row r="96" spans="1:20">
      <c r="A96" s="182">
        <v>44277</v>
      </c>
      <c r="B96" s="183">
        <v>0.64601851851851855</v>
      </c>
      <c r="C96" s="184" t="s">
        <v>73</v>
      </c>
      <c r="D96" s="184" t="s">
        <v>68</v>
      </c>
      <c r="E96" s="184" t="s">
        <v>19</v>
      </c>
      <c r="F96" s="182">
        <v>44368</v>
      </c>
      <c r="G96" s="186" t="s">
        <v>94</v>
      </c>
      <c r="H96" s="184" t="s">
        <v>76</v>
      </c>
      <c r="T96" s="184" t="s">
        <v>488</v>
      </c>
    </row>
    <row r="97" spans="1:20">
      <c r="A97" s="182">
        <v>44277</v>
      </c>
      <c r="B97" s="183">
        <v>0.64660879629629631</v>
      </c>
      <c r="C97" s="184" t="s">
        <v>73</v>
      </c>
      <c r="D97" s="184" t="s">
        <v>68</v>
      </c>
      <c r="E97" s="184" t="s">
        <v>95</v>
      </c>
      <c r="F97" s="182">
        <v>44384</v>
      </c>
      <c r="G97" s="186" t="s">
        <v>70</v>
      </c>
      <c r="H97" s="184" t="s">
        <v>71</v>
      </c>
      <c r="T97" s="184" t="s">
        <v>488</v>
      </c>
    </row>
    <row r="98" spans="1:20">
      <c r="A98" s="182">
        <v>44278</v>
      </c>
      <c r="B98" s="183">
        <v>0.47236111111111106</v>
      </c>
      <c r="C98" s="184" t="s">
        <v>67</v>
      </c>
      <c r="D98" s="184" t="s">
        <v>68</v>
      </c>
      <c r="E98" s="184" t="s">
        <v>69</v>
      </c>
      <c r="F98" s="182">
        <v>44331</v>
      </c>
      <c r="G98" s="186" t="s">
        <v>114</v>
      </c>
      <c r="H98" s="184" t="s">
        <v>87</v>
      </c>
      <c r="T98" s="184" t="s">
        <v>432</v>
      </c>
    </row>
    <row r="99" spans="1:20">
      <c r="A99" s="182">
        <v>44278</v>
      </c>
      <c r="B99" s="183">
        <v>0.55472222222222223</v>
      </c>
      <c r="C99" s="184" t="s">
        <v>67</v>
      </c>
      <c r="D99" s="184" t="s">
        <v>68</v>
      </c>
      <c r="E99" s="184" t="s">
        <v>19</v>
      </c>
      <c r="F99" s="182">
        <v>44300</v>
      </c>
      <c r="G99" s="186" t="s">
        <v>112</v>
      </c>
      <c r="H99" s="184" t="s">
        <v>185</v>
      </c>
      <c r="T99" s="184" t="s">
        <v>489</v>
      </c>
    </row>
    <row r="100" spans="1:20">
      <c r="A100" s="182">
        <v>44278</v>
      </c>
      <c r="B100" s="183">
        <v>0.58001157407407411</v>
      </c>
      <c r="C100" s="184" t="s">
        <v>67</v>
      </c>
      <c r="D100" s="184" t="s">
        <v>68</v>
      </c>
      <c r="E100" s="184" t="s">
        <v>19</v>
      </c>
      <c r="F100" s="182">
        <v>44300</v>
      </c>
      <c r="G100" s="186" t="s">
        <v>94</v>
      </c>
      <c r="H100" s="184" t="s">
        <v>308</v>
      </c>
      <c r="T100" s="184" t="s">
        <v>299</v>
      </c>
    </row>
    <row r="101" spans="1:20">
      <c r="A101" s="182">
        <v>44278</v>
      </c>
      <c r="B101" s="183">
        <v>0.63684027777777785</v>
      </c>
      <c r="C101" s="184" t="s">
        <v>67</v>
      </c>
      <c r="D101" s="184" t="s">
        <v>68</v>
      </c>
      <c r="E101" s="184" t="s">
        <v>204</v>
      </c>
      <c r="F101" s="182">
        <v>44357</v>
      </c>
      <c r="G101" s="186" t="s">
        <v>75</v>
      </c>
      <c r="H101" s="184" t="s">
        <v>76</v>
      </c>
      <c r="T101" s="184" t="s">
        <v>203</v>
      </c>
    </row>
    <row r="102" spans="1:20">
      <c r="A102" s="182">
        <v>44279</v>
      </c>
      <c r="B102" s="183">
        <v>0.58787037037037038</v>
      </c>
      <c r="C102" s="184" t="s">
        <v>67</v>
      </c>
      <c r="D102" s="184" t="s">
        <v>91</v>
      </c>
      <c r="E102" s="184" t="s">
        <v>19</v>
      </c>
      <c r="F102" s="182">
        <v>44368</v>
      </c>
      <c r="G102" s="186" t="s">
        <v>94</v>
      </c>
      <c r="H102" s="184" t="s">
        <v>120</v>
      </c>
    </row>
    <row r="103" spans="1:20">
      <c r="A103" s="182">
        <v>44281</v>
      </c>
      <c r="B103" s="183">
        <v>0.49460648148148145</v>
      </c>
      <c r="C103" s="184" t="s">
        <v>67</v>
      </c>
      <c r="D103" s="184" t="s">
        <v>91</v>
      </c>
      <c r="E103" s="184" t="s">
        <v>96</v>
      </c>
      <c r="F103" s="182">
        <v>44334</v>
      </c>
      <c r="G103" s="186" t="s">
        <v>94</v>
      </c>
      <c r="H103" s="184" t="s">
        <v>120</v>
      </c>
    </row>
    <row r="104" spans="1:20">
      <c r="A104" s="182">
        <v>44281</v>
      </c>
      <c r="B104" s="183">
        <v>0.54476851851851849</v>
      </c>
      <c r="C104" s="184" t="s">
        <v>67</v>
      </c>
      <c r="D104" s="184" t="s">
        <v>68</v>
      </c>
      <c r="E104" s="184" t="s">
        <v>204</v>
      </c>
      <c r="F104" s="182">
        <v>44357</v>
      </c>
      <c r="G104" s="186" t="s">
        <v>94</v>
      </c>
      <c r="H104" s="184" t="s">
        <v>87</v>
      </c>
      <c r="T104" s="184" t="s">
        <v>490</v>
      </c>
    </row>
    <row r="105" spans="1:20">
      <c r="A105" s="182">
        <v>44281</v>
      </c>
      <c r="B105" s="183">
        <v>0.64674768518518522</v>
      </c>
      <c r="C105" s="184" t="s">
        <v>67</v>
      </c>
      <c r="D105" s="184" t="s">
        <v>68</v>
      </c>
      <c r="E105" s="184" t="s">
        <v>96</v>
      </c>
      <c r="F105" s="182">
        <v>44334</v>
      </c>
      <c r="G105" s="186" t="s">
        <v>94</v>
      </c>
      <c r="H105" s="184" t="s">
        <v>305</v>
      </c>
      <c r="T105" s="184" t="s">
        <v>491</v>
      </c>
    </row>
    <row r="106" spans="1:20">
      <c r="A106" s="182">
        <v>44284</v>
      </c>
      <c r="B106" s="183">
        <v>0.46174768518518516</v>
      </c>
      <c r="C106" s="184" t="s">
        <v>73</v>
      </c>
      <c r="D106" s="184" t="s">
        <v>68</v>
      </c>
      <c r="E106" s="184" t="s">
        <v>96</v>
      </c>
      <c r="F106" s="182">
        <v>44334</v>
      </c>
      <c r="G106" s="186" t="s">
        <v>94</v>
      </c>
      <c r="H106" s="184" t="s">
        <v>322</v>
      </c>
      <c r="T106" s="184" t="s">
        <v>234</v>
      </c>
    </row>
    <row r="107" spans="1:20">
      <c r="A107" s="182">
        <v>44284</v>
      </c>
      <c r="B107" s="183">
        <v>0.54364583333333327</v>
      </c>
      <c r="C107" s="184" t="s">
        <v>73</v>
      </c>
      <c r="D107" s="184" t="s">
        <v>68</v>
      </c>
      <c r="E107" s="184" t="s">
        <v>124</v>
      </c>
      <c r="F107" s="182">
        <v>44491</v>
      </c>
      <c r="G107" s="186" t="s">
        <v>75</v>
      </c>
      <c r="H107" s="184" t="s">
        <v>76</v>
      </c>
      <c r="T107" s="184" t="s">
        <v>234</v>
      </c>
    </row>
    <row r="108" spans="1:20">
      <c r="A108" s="182">
        <v>44284</v>
      </c>
      <c r="B108" s="183">
        <v>0.58915509259259258</v>
      </c>
      <c r="C108" s="184" t="s">
        <v>67</v>
      </c>
      <c r="D108" s="184" t="s">
        <v>91</v>
      </c>
      <c r="E108" s="184" t="s">
        <v>45</v>
      </c>
      <c r="F108" s="182">
        <v>44358</v>
      </c>
      <c r="G108" s="186" t="s">
        <v>105</v>
      </c>
      <c r="H108" s="184" t="s">
        <v>227</v>
      </c>
    </row>
    <row r="109" spans="1:20">
      <c r="A109" s="182">
        <v>44284</v>
      </c>
      <c r="B109" s="183">
        <v>0.58944444444444444</v>
      </c>
      <c r="C109" s="184" t="s">
        <v>67</v>
      </c>
      <c r="D109" s="184" t="s">
        <v>91</v>
      </c>
      <c r="E109" s="184" t="s">
        <v>19</v>
      </c>
      <c r="F109" s="182">
        <v>44368</v>
      </c>
      <c r="G109" s="186" t="s">
        <v>99</v>
      </c>
      <c r="H109" s="184" t="s">
        <v>285</v>
      </c>
    </row>
    <row r="110" spans="1:20">
      <c r="A110" s="182">
        <v>44284</v>
      </c>
      <c r="B110" s="183">
        <v>0.58956018518518516</v>
      </c>
      <c r="C110" s="184" t="s">
        <v>67</v>
      </c>
      <c r="D110" s="184" t="s">
        <v>91</v>
      </c>
      <c r="E110" s="184" t="s">
        <v>19</v>
      </c>
      <c r="F110" s="182">
        <v>44368</v>
      </c>
      <c r="G110" s="186" t="s">
        <v>70</v>
      </c>
      <c r="H110" s="184" t="s">
        <v>120</v>
      </c>
    </row>
    <row r="111" spans="1:20">
      <c r="A111" s="182">
        <v>44284</v>
      </c>
      <c r="B111" s="183">
        <v>0.5898958333333334</v>
      </c>
      <c r="C111" s="184" t="s">
        <v>67</v>
      </c>
      <c r="D111" s="184" t="s">
        <v>91</v>
      </c>
      <c r="E111" s="184" t="s">
        <v>124</v>
      </c>
      <c r="F111" s="182">
        <v>44491</v>
      </c>
      <c r="G111" s="186" t="s">
        <v>94</v>
      </c>
      <c r="H111" s="184" t="s">
        <v>92</v>
      </c>
    </row>
    <row r="112" spans="1:20">
      <c r="A112" s="182">
        <v>44285</v>
      </c>
      <c r="B112" s="183">
        <v>0.43741898148148151</v>
      </c>
      <c r="C112" s="184" t="s">
        <v>67</v>
      </c>
      <c r="D112" s="184" t="s">
        <v>91</v>
      </c>
      <c r="E112" s="184" t="s">
        <v>45</v>
      </c>
      <c r="F112" s="182">
        <v>44310</v>
      </c>
      <c r="G112" s="186" t="s">
        <v>94</v>
      </c>
      <c r="H112" s="184" t="s">
        <v>285</v>
      </c>
    </row>
    <row r="113" spans="1:20">
      <c r="A113" s="182">
        <v>44285</v>
      </c>
      <c r="B113" s="183">
        <v>0.66378472222222229</v>
      </c>
      <c r="C113" s="184" t="s">
        <v>67</v>
      </c>
      <c r="D113" s="184" t="s">
        <v>68</v>
      </c>
      <c r="E113" s="184" t="s">
        <v>85</v>
      </c>
      <c r="F113" s="182">
        <v>44337</v>
      </c>
      <c r="G113" s="186" t="s">
        <v>94</v>
      </c>
      <c r="H113" s="184" t="s">
        <v>87</v>
      </c>
      <c r="T113" s="184" t="s">
        <v>492</v>
      </c>
    </row>
    <row r="114" spans="1:20">
      <c r="A114" s="182">
        <v>44285</v>
      </c>
      <c r="B114" s="183">
        <v>0.6643634259259259</v>
      </c>
      <c r="C114" s="184" t="s">
        <v>67</v>
      </c>
      <c r="D114" s="184" t="s">
        <v>68</v>
      </c>
      <c r="E114" s="184" t="s">
        <v>19</v>
      </c>
      <c r="F114" s="182">
        <v>44368</v>
      </c>
      <c r="G114" s="186" t="s">
        <v>94</v>
      </c>
      <c r="H114" s="184" t="s">
        <v>87</v>
      </c>
      <c r="T114" s="184" t="s">
        <v>333</v>
      </c>
    </row>
    <row r="115" spans="1:20">
      <c r="A115" s="182">
        <v>44285</v>
      </c>
      <c r="B115" s="183">
        <v>0.66493055555555558</v>
      </c>
      <c r="C115" s="184" t="s">
        <v>67</v>
      </c>
      <c r="D115" s="184" t="s">
        <v>68</v>
      </c>
      <c r="E115" s="184" t="s">
        <v>95</v>
      </c>
      <c r="F115" s="182">
        <v>44384</v>
      </c>
      <c r="G115" s="186" t="s">
        <v>94</v>
      </c>
      <c r="H115" s="184" t="s">
        <v>76</v>
      </c>
      <c r="T115" s="184" t="s">
        <v>333</v>
      </c>
    </row>
    <row r="116" spans="1:20">
      <c r="A116" s="182">
        <v>44285</v>
      </c>
      <c r="B116" s="183">
        <v>0.66950231481481481</v>
      </c>
      <c r="C116" s="184" t="s">
        <v>67</v>
      </c>
      <c r="D116" s="184" t="s">
        <v>78</v>
      </c>
      <c r="E116" s="184" t="s">
        <v>19</v>
      </c>
      <c r="F116" s="182">
        <v>44300</v>
      </c>
      <c r="G116" s="186" t="s">
        <v>99</v>
      </c>
      <c r="H116" s="184" t="s">
        <v>107</v>
      </c>
    </row>
    <row r="117" spans="1:20">
      <c r="A117" s="182">
        <v>44286</v>
      </c>
      <c r="B117" s="183">
        <v>0.37820601851851854</v>
      </c>
      <c r="C117" s="184" t="s">
        <v>67</v>
      </c>
      <c r="D117" s="184" t="s">
        <v>68</v>
      </c>
      <c r="E117" s="184" t="s">
        <v>19</v>
      </c>
      <c r="F117" s="182">
        <v>44300</v>
      </c>
      <c r="G117" s="186" t="s">
        <v>94</v>
      </c>
      <c r="H117" s="184" t="s">
        <v>190</v>
      </c>
      <c r="T117" s="184" t="s">
        <v>493</v>
      </c>
    </row>
    <row r="118" spans="1:20">
      <c r="A118" s="182">
        <v>44286</v>
      </c>
      <c r="B118" s="183">
        <v>0.53937500000000005</v>
      </c>
      <c r="C118" s="184" t="s">
        <v>67</v>
      </c>
      <c r="D118" s="184" t="s">
        <v>91</v>
      </c>
      <c r="E118" s="184" t="s">
        <v>19</v>
      </c>
      <c r="F118" s="182">
        <v>44368</v>
      </c>
      <c r="G118" s="186" t="s">
        <v>99</v>
      </c>
      <c r="H118" s="184" t="s">
        <v>285</v>
      </c>
    </row>
    <row r="119" spans="1:20">
      <c r="A119" s="182">
        <v>44286</v>
      </c>
      <c r="B119" s="183">
        <v>0.53950231481481481</v>
      </c>
      <c r="C119" s="184" t="s">
        <v>67</v>
      </c>
      <c r="D119" s="184" t="s">
        <v>91</v>
      </c>
      <c r="E119" s="184" t="s">
        <v>19</v>
      </c>
      <c r="F119" s="182">
        <v>44368</v>
      </c>
      <c r="G119" s="186" t="s">
        <v>94</v>
      </c>
      <c r="H119" s="184" t="s">
        <v>120</v>
      </c>
    </row>
    <row r="120" spans="1:20">
      <c r="A120" s="182">
        <v>44286</v>
      </c>
      <c r="B120" s="183">
        <v>0.67894675925925929</v>
      </c>
      <c r="C120" s="184" t="s">
        <v>67</v>
      </c>
      <c r="D120" s="184" t="s">
        <v>68</v>
      </c>
      <c r="E120" s="184" t="s">
        <v>19</v>
      </c>
      <c r="F120" s="182">
        <v>44300</v>
      </c>
      <c r="G120" s="186" t="s">
        <v>94</v>
      </c>
      <c r="H120" s="184" t="s">
        <v>206</v>
      </c>
      <c r="T120" s="184" t="s">
        <v>494</v>
      </c>
    </row>
    <row r="121" spans="1:20">
      <c r="A121" s="182">
        <v>44286</v>
      </c>
      <c r="B121" s="183">
        <v>0.67958333333333332</v>
      </c>
      <c r="C121" s="184" t="s">
        <v>67</v>
      </c>
      <c r="D121" s="184" t="s">
        <v>68</v>
      </c>
      <c r="E121" s="184" t="s">
        <v>45</v>
      </c>
      <c r="F121" s="182">
        <v>44310</v>
      </c>
      <c r="G121" s="186" t="s">
        <v>94</v>
      </c>
      <c r="H121" s="184" t="s">
        <v>259</v>
      </c>
      <c r="T121" s="184" t="s">
        <v>249</v>
      </c>
    </row>
    <row r="122" spans="1:20">
      <c r="A122" s="182">
        <v>44286</v>
      </c>
      <c r="B122" s="183">
        <v>0.70385416666666656</v>
      </c>
      <c r="C122" s="184" t="s">
        <v>67</v>
      </c>
      <c r="D122" s="184" t="s">
        <v>68</v>
      </c>
      <c r="E122" s="184" t="s">
        <v>124</v>
      </c>
      <c r="F122" s="182">
        <v>44491</v>
      </c>
      <c r="G122" s="186" t="s">
        <v>495</v>
      </c>
      <c r="H122" s="184" t="s">
        <v>190</v>
      </c>
      <c r="T122" s="184" t="s">
        <v>163</v>
      </c>
    </row>
    <row r="123" spans="1:20">
      <c r="A123" s="182">
        <v>44286</v>
      </c>
      <c r="B123" s="183">
        <v>0.70460648148148142</v>
      </c>
      <c r="C123" s="184" t="s">
        <v>67</v>
      </c>
      <c r="D123" s="184" t="s">
        <v>68</v>
      </c>
      <c r="E123" s="184" t="s">
        <v>124</v>
      </c>
      <c r="F123" s="182">
        <v>44589</v>
      </c>
      <c r="G123" s="186" t="s">
        <v>496</v>
      </c>
      <c r="H123" s="184" t="s">
        <v>190</v>
      </c>
      <c r="T123" s="184" t="s">
        <v>147</v>
      </c>
    </row>
    <row r="124" spans="1:20">
      <c r="A124" s="182">
        <v>44286</v>
      </c>
      <c r="B124" s="183">
        <v>0.70538194444444446</v>
      </c>
      <c r="C124" s="184" t="s">
        <v>67</v>
      </c>
      <c r="D124" s="184" t="s">
        <v>68</v>
      </c>
      <c r="E124" s="184" t="s">
        <v>96</v>
      </c>
      <c r="F124" s="182">
        <v>44508</v>
      </c>
      <c r="G124" s="186" t="s">
        <v>497</v>
      </c>
      <c r="H124" s="184" t="s">
        <v>209</v>
      </c>
      <c r="T124" s="184" t="s">
        <v>147</v>
      </c>
    </row>
    <row r="125" spans="1:20">
      <c r="A125" s="182">
        <v>44287</v>
      </c>
      <c r="B125" s="183">
        <v>0.61804398148148143</v>
      </c>
      <c r="C125" s="184" t="s">
        <v>67</v>
      </c>
      <c r="D125" s="184" t="s">
        <v>91</v>
      </c>
      <c r="E125" s="184" t="s">
        <v>85</v>
      </c>
      <c r="F125" s="182">
        <v>44337</v>
      </c>
      <c r="G125" s="186" t="s">
        <v>94</v>
      </c>
      <c r="H125" s="184" t="s">
        <v>285</v>
      </c>
    </row>
    <row r="126" spans="1:20">
      <c r="A126" s="182">
        <v>44287</v>
      </c>
      <c r="B126" s="183">
        <v>0.64605324074074078</v>
      </c>
      <c r="C126" s="184" t="s">
        <v>67</v>
      </c>
      <c r="D126" s="184" t="s">
        <v>68</v>
      </c>
      <c r="E126" s="184" t="s">
        <v>69</v>
      </c>
      <c r="F126" s="182">
        <v>44331</v>
      </c>
      <c r="G126" s="186" t="s">
        <v>264</v>
      </c>
      <c r="H126" s="184" t="s">
        <v>273</v>
      </c>
      <c r="T126" s="184" t="s">
        <v>498</v>
      </c>
    </row>
    <row r="127" spans="1:20">
      <c r="A127" s="182">
        <v>44288</v>
      </c>
      <c r="B127" s="183">
        <v>0.38624999999999998</v>
      </c>
      <c r="C127" s="184" t="s">
        <v>67</v>
      </c>
      <c r="D127" s="184" t="s">
        <v>68</v>
      </c>
      <c r="E127" s="184" t="s">
        <v>19</v>
      </c>
      <c r="F127" s="182">
        <v>44300</v>
      </c>
      <c r="G127" s="186" t="s">
        <v>114</v>
      </c>
      <c r="H127" s="184" t="s">
        <v>272</v>
      </c>
      <c r="T127" s="184" t="s">
        <v>499</v>
      </c>
    </row>
    <row r="128" spans="1:20">
      <c r="A128" s="182">
        <v>44288</v>
      </c>
      <c r="B128" s="183">
        <v>0.57646990740740744</v>
      </c>
      <c r="C128" s="184" t="s">
        <v>67</v>
      </c>
      <c r="D128" s="184" t="s">
        <v>68</v>
      </c>
      <c r="E128" s="184" t="s">
        <v>96</v>
      </c>
      <c r="F128" s="182">
        <v>44334</v>
      </c>
      <c r="G128" s="186" t="s">
        <v>94</v>
      </c>
      <c r="H128" s="184" t="s">
        <v>185</v>
      </c>
      <c r="T128" s="184" t="s">
        <v>500</v>
      </c>
    </row>
    <row r="129" spans="1:20">
      <c r="A129" s="182">
        <v>44288</v>
      </c>
      <c r="B129" s="183">
        <v>0.63253472222222229</v>
      </c>
      <c r="C129" s="184" t="s">
        <v>67</v>
      </c>
      <c r="D129" s="184" t="s">
        <v>91</v>
      </c>
      <c r="E129" s="184" t="s">
        <v>85</v>
      </c>
      <c r="F129" s="182">
        <v>44337</v>
      </c>
      <c r="G129" s="186" t="s">
        <v>94</v>
      </c>
      <c r="H129" s="184" t="s">
        <v>120</v>
      </c>
    </row>
    <row r="130" spans="1:20">
      <c r="A130" s="182">
        <v>44288</v>
      </c>
      <c r="B130" s="183">
        <v>0.63262731481481482</v>
      </c>
      <c r="C130" s="184" t="s">
        <v>67</v>
      </c>
      <c r="D130" s="184" t="s">
        <v>91</v>
      </c>
      <c r="E130" s="184" t="s">
        <v>85</v>
      </c>
      <c r="F130" s="182">
        <v>44396</v>
      </c>
      <c r="G130" s="186" t="s">
        <v>105</v>
      </c>
      <c r="H130" s="184" t="s">
        <v>227</v>
      </c>
    </row>
    <row r="131" spans="1:20">
      <c r="A131" s="182">
        <v>44288</v>
      </c>
      <c r="B131" s="183">
        <v>0.64137731481481486</v>
      </c>
      <c r="C131" s="184" t="s">
        <v>67</v>
      </c>
      <c r="D131" s="184" t="s">
        <v>68</v>
      </c>
      <c r="E131" s="184" t="s">
        <v>85</v>
      </c>
      <c r="F131" s="182">
        <v>44337</v>
      </c>
      <c r="G131" s="186" t="s">
        <v>94</v>
      </c>
      <c r="H131" s="184" t="s">
        <v>101</v>
      </c>
      <c r="T131" s="184" t="s">
        <v>501</v>
      </c>
    </row>
    <row r="132" spans="1:20">
      <c r="A132" s="182">
        <v>44288</v>
      </c>
      <c r="B132" s="183">
        <v>0.68251157407407403</v>
      </c>
      <c r="C132" s="184" t="s">
        <v>67</v>
      </c>
      <c r="D132" s="184" t="s">
        <v>68</v>
      </c>
      <c r="E132" s="184" t="s">
        <v>96</v>
      </c>
      <c r="F132" s="182">
        <v>44334</v>
      </c>
      <c r="G132" s="186" t="s">
        <v>94</v>
      </c>
      <c r="H132" s="184" t="s">
        <v>308</v>
      </c>
      <c r="T132" s="184" t="s">
        <v>502</v>
      </c>
    </row>
    <row r="133" spans="1:20">
      <c r="A133" s="182">
        <v>44291</v>
      </c>
      <c r="B133" s="183">
        <v>0.45840277777777777</v>
      </c>
      <c r="C133" s="184" t="s">
        <v>73</v>
      </c>
      <c r="D133" s="184" t="s">
        <v>68</v>
      </c>
      <c r="E133" s="184" t="s">
        <v>96</v>
      </c>
      <c r="F133" s="182">
        <v>44398</v>
      </c>
      <c r="G133" s="186" t="s">
        <v>94</v>
      </c>
      <c r="H133" s="184" t="s">
        <v>76</v>
      </c>
      <c r="T133" s="184" t="s">
        <v>503</v>
      </c>
    </row>
    <row r="134" spans="1:20">
      <c r="A134" s="182">
        <v>44291</v>
      </c>
      <c r="B134" s="183">
        <v>0.46057870370370368</v>
      </c>
      <c r="C134" s="184" t="s">
        <v>67</v>
      </c>
      <c r="D134" s="184" t="s">
        <v>68</v>
      </c>
      <c r="E134" s="184" t="s">
        <v>96</v>
      </c>
      <c r="F134" s="182">
        <v>44334</v>
      </c>
      <c r="G134" s="186" t="s">
        <v>94</v>
      </c>
      <c r="H134" s="184" t="s">
        <v>190</v>
      </c>
      <c r="T134" s="184" t="s">
        <v>456</v>
      </c>
    </row>
    <row r="135" spans="1:20">
      <c r="A135" s="182">
        <v>44291</v>
      </c>
      <c r="B135" s="183">
        <v>0.48685185185185187</v>
      </c>
      <c r="C135" s="184" t="s">
        <v>67</v>
      </c>
      <c r="D135" s="184" t="s">
        <v>91</v>
      </c>
      <c r="E135" s="184" t="s">
        <v>19</v>
      </c>
      <c r="F135" s="182">
        <v>44368</v>
      </c>
      <c r="G135" s="186" t="s">
        <v>504</v>
      </c>
      <c r="H135" s="184" t="s">
        <v>295</v>
      </c>
    </row>
    <row r="136" spans="1:20">
      <c r="A136" s="182">
        <v>44291</v>
      </c>
      <c r="B136" s="183">
        <v>0.48756944444444444</v>
      </c>
      <c r="C136" s="184" t="s">
        <v>67</v>
      </c>
      <c r="D136" s="184" t="s">
        <v>91</v>
      </c>
      <c r="E136" s="184" t="s">
        <v>95</v>
      </c>
      <c r="F136" s="182">
        <v>44384</v>
      </c>
      <c r="G136" s="186" t="s">
        <v>505</v>
      </c>
      <c r="H136" s="184" t="s">
        <v>218</v>
      </c>
    </row>
    <row r="137" spans="1:20">
      <c r="A137" s="182">
        <v>44291</v>
      </c>
      <c r="B137" s="183">
        <v>0.55252314814814818</v>
      </c>
      <c r="C137" s="184" t="s">
        <v>73</v>
      </c>
      <c r="D137" s="184" t="s">
        <v>68</v>
      </c>
      <c r="E137" s="184" t="s">
        <v>96</v>
      </c>
      <c r="F137" s="182">
        <v>44334</v>
      </c>
      <c r="G137" s="186" t="s">
        <v>112</v>
      </c>
      <c r="H137" s="184" t="s">
        <v>272</v>
      </c>
      <c r="T137" s="184" t="s">
        <v>506</v>
      </c>
    </row>
    <row r="138" spans="1:20">
      <c r="A138" s="182">
        <v>44291</v>
      </c>
      <c r="B138" s="183">
        <v>0.5927662037037037</v>
      </c>
      <c r="C138" s="184" t="s">
        <v>67</v>
      </c>
      <c r="D138" s="184" t="s">
        <v>78</v>
      </c>
      <c r="E138" s="184" t="s">
        <v>19</v>
      </c>
      <c r="F138" s="182">
        <v>44368</v>
      </c>
      <c r="G138" s="186" t="s">
        <v>114</v>
      </c>
      <c r="H138" s="184" t="s">
        <v>267</v>
      </c>
    </row>
    <row r="139" spans="1:20">
      <c r="A139" s="182">
        <v>44291</v>
      </c>
      <c r="B139" s="183">
        <v>0.59292824074074069</v>
      </c>
      <c r="C139" s="184" t="s">
        <v>67</v>
      </c>
      <c r="D139" s="184" t="s">
        <v>78</v>
      </c>
      <c r="E139" s="184" t="s">
        <v>19</v>
      </c>
      <c r="F139" s="182">
        <v>44504</v>
      </c>
      <c r="G139" s="186" t="s">
        <v>70</v>
      </c>
      <c r="H139" s="184" t="s">
        <v>86</v>
      </c>
    </row>
    <row r="140" spans="1:20">
      <c r="A140" s="182">
        <v>44292</v>
      </c>
      <c r="B140" s="183">
        <v>0.41136574074074073</v>
      </c>
      <c r="C140" s="184" t="s">
        <v>73</v>
      </c>
      <c r="D140" s="184" t="s">
        <v>91</v>
      </c>
      <c r="E140" s="184" t="s">
        <v>45</v>
      </c>
      <c r="F140" s="182">
        <v>44310</v>
      </c>
      <c r="G140" s="186" t="s">
        <v>115</v>
      </c>
      <c r="H140" s="184" t="s">
        <v>92</v>
      </c>
    </row>
    <row r="141" spans="1:20">
      <c r="A141" s="182">
        <v>44292</v>
      </c>
      <c r="B141" s="183">
        <v>0.70810185185185182</v>
      </c>
      <c r="C141" s="184" t="s">
        <v>67</v>
      </c>
      <c r="D141" s="184" t="s">
        <v>78</v>
      </c>
      <c r="E141" s="184" t="s">
        <v>69</v>
      </c>
      <c r="F141" s="182">
        <v>44331</v>
      </c>
      <c r="G141" s="186" t="s">
        <v>94</v>
      </c>
      <c r="H141" s="184" t="s">
        <v>297</v>
      </c>
    </row>
    <row r="142" spans="1:20">
      <c r="A142" s="182">
        <v>44293</v>
      </c>
      <c r="B142" s="183">
        <v>0.43887731481481485</v>
      </c>
      <c r="C142" s="184" t="s">
        <v>73</v>
      </c>
      <c r="D142" s="184" t="s">
        <v>68</v>
      </c>
      <c r="E142" s="184" t="s">
        <v>89</v>
      </c>
      <c r="F142" s="182">
        <v>44351</v>
      </c>
      <c r="G142" s="186" t="s">
        <v>94</v>
      </c>
      <c r="H142" s="184" t="s">
        <v>76</v>
      </c>
      <c r="T142" s="184" t="s">
        <v>507</v>
      </c>
    </row>
    <row r="143" spans="1:20">
      <c r="A143" s="182">
        <v>44293</v>
      </c>
      <c r="B143" s="183">
        <v>0.4523726851851852</v>
      </c>
      <c r="C143" s="184" t="s">
        <v>73</v>
      </c>
      <c r="D143" s="184" t="s">
        <v>68</v>
      </c>
      <c r="E143" s="184" t="s">
        <v>19</v>
      </c>
      <c r="F143" s="182">
        <v>44300</v>
      </c>
      <c r="G143" s="186" t="s">
        <v>114</v>
      </c>
      <c r="H143" s="184" t="s">
        <v>225</v>
      </c>
      <c r="T143" s="184" t="s">
        <v>508</v>
      </c>
    </row>
    <row r="144" spans="1:20">
      <c r="A144" s="182">
        <v>44293</v>
      </c>
      <c r="B144" s="183">
        <v>0.47372685185185182</v>
      </c>
      <c r="C144" s="184" t="s">
        <v>73</v>
      </c>
      <c r="D144" s="184" t="s">
        <v>68</v>
      </c>
      <c r="E144" s="184" t="s">
        <v>96</v>
      </c>
      <c r="F144" s="182">
        <v>44334</v>
      </c>
      <c r="G144" s="186" t="s">
        <v>114</v>
      </c>
      <c r="H144" s="184" t="s">
        <v>225</v>
      </c>
      <c r="T144" s="184" t="s">
        <v>509</v>
      </c>
    </row>
    <row r="145" spans="1:20">
      <c r="A145" s="182">
        <v>44293</v>
      </c>
      <c r="B145" s="183">
        <v>0.47472222222222221</v>
      </c>
      <c r="C145" s="184" t="s">
        <v>73</v>
      </c>
      <c r="D145" s="184" t="s">
        <v>68</v>
      </c>
      <c r="E145" s="184" t="s">
        <v>96</v>
      </c>
      <c r="F145" s="182">
        <v>44452</v>
      </c>
      <c r="G145" s="186" t="s">
        <v>94</v>
      </c>
      <c r="H145" s="184" t="s">
        <v>76</v>
      </c>
      <c r="T145" s="184" t="s">
        <v>509</v>
      </c>
    </row>
    <row r="146" spans="1:20">
      <c r="A146" s="182">
        <v>44293</v>
      </c>
      <c r="B146" s="183">
        <v>0.48255787037037035</v>
      </c>
      <c r="C146" s="184" t="s">
        <v>73</v>
      </c>
      <c r="D146" s="184" t="s">
        <v>68</v>
      </c>
      <c r="E146" s="184" t="s">
        <v>19</v>
      </c>
      <c r="F146" s="182">
        <v>44368</v>
      </c>
      <c r="G146" s="186" t="s">
        <v>94</v>
      </c>
      <c r="H146" s="184" t="s">
        <v>101</v>
      </c>
      <c r="T146" s="184" t="s">
        <v>510</v>
      </c>
    </row>
    <row r="147" spans="1:20">
      <c r="A147" s="182">
        <v>44293</v>
      </c>
      <c r="B147" s="183">
        <v>0.54026620370370371</v>
      </c>
      <c r="C147" s="184" t="s">
        <v>73</v>
      </c>
      <c r="D147" s="184" t="s">
        <v>68</v>
      </c>
      <c r="E147" s="184" t="s">
        <v>19</v>
      </c>
      <c r="F147" s="182">
        <v>44300</v>
      </c>
      <c r="G147" s="186" t="s">
        <v>115</v>
      </c>
      <c r="H147" s="184" t="s">
        <v>272</v>
      </c>
      <c r="T147" s="184" t="s">
        <v>508</v>
      </c>
    </row>
    <row r="148" spans="1:20">
      <c r="A148" s="182">
        <v>44293</v>
      </c>
      <c r="B148" s="183">
        <v>0.54592592592592593</v>
      </c>
      <c r="C148" s="184" t="s">
        <v>67</v>
      </c>
      <c r="D148" s="184" t="s">
        <v>91</v>
      </c>
      <c r="E148" s="184" t="s">
        <v>85</v>
      </c>
      <c r="F148" s="182">
        <v>44337</v>
      </c>
      <c r="G148" s="186" t="s">
        <v>94</v>
      </c>
      <c r="H148" s="184" t="s">
        <v>229</v>
      </c>
    </row>
    <row r="149" spans="1:20">
      <c r="A149" s="182">
        <v>44293</v>
      </c>
      <c r="B149" s="183">
        <v>0.54947916666666663</v>
      </c>
      <c r="C149" s="184" t="s">
        <v>67</v>
      </c>
      <c r="D149" s="184" t="s">
        <v>68</v>
      </c>
      <c r="E149" s="184" t="s">
        <v>96</v>
      </c>
      <c r="F149" s="182">
        <v>44334</v>
      </c>
      <c r="G149" s="186" t="s">
        <v>99</v>
      </c>
      <c r="H149" s="184" t="s">
        <v>225</v>
      </c>
      <c r="T149" s="184" t="s">
        <v>110</v>
      </c>
    </row>
    <row r="150" spans="1:20">
      <c r="A150" s="182">
        <v>44293</v>
      </c>
      <c r="B150" s="183">
        <v>0.54979166666666668</v>
      </c>
      <c r="C150" s="184" t="s">
        <v>67</v>
      </c>
      <c r="D150" s="184" t="s">
        <v>68</v>
      </c>
      <c r="E150" s="184" t="s">
        <v>96</v>
      </c>
      <c r="F150" s="182">
        <v>44334</v>
      </c>
      <c r="G150" s="186" t="s">
        <v>94</v>
      </c>
      <c r="H150" s="184" t="s">
        <v>225</v>
      </c>
      <c r="T150" s="184" t="s">
        <v>110</v>
      </c>
    </row>
    <row r="151" spans="1:20">
      <c r="A151" s="182">
        <v>44294</v>
      </c>
      <c r="B151" s="183">
        <v>0.40537037037037038</v>
      </c>
      <c r="C151" s="184" t="s">
        <v>73</v>
      </c>
      <c r="D151" s="184" t="s">
        <v>68</v>
      </c>
      <c r="E151" s="184" t="s">
        <v>45</v>
      </c>
      <c r="F151" s="182">
        <v>44310</v>
      </c>
      <c r="G151" s="186" t="s">
        <v>112</v>
      </c>
      <c r="H151" s="184" t="s">
        <v>260</v>
      </c>
      <c r="T151" s="184" t="s">
        <v>511</v>
      </c>
    </row>
    <row r="152" spans="1:20">
      <c r="A152" s="182">
        <v>44294</v>
      </c>
      <c r="B152" s="183">
        <v>0.45841435185185181</v>
      </c>
      <c r="C152" s="184" t="s">
        <v>73</v>
      </c>
      <c r="D152" s="184" t="s">
        <v>68</v>
      </c>
      <c r="E152" s="184" t="s">
        <v>95</v>
      </c>
      <c r="F152" s="182">
        <v>44384</v>
      </c>
      <c r="G152" s="186" t="s">
        <v>70</v>
      </c>
      <c r="H152" s="184" t="s">
        <v>87</v>
      </c>
      <c r="T152" s="184" t="s">
        <v>485</v>
      </c>
    </row>
    <row r="153" spans="1:20">
      <c r="A153" s="182">
        <v>44294</v>
      </c>
      <c r="B153" s="183">
        <v>0.45907407407407402</v>
      </c>
      <c r="C153" s="184" t="s">
        <v>73</v>
      </c>
      <c r="D153" s="184" t="s">
        <v>68</v>
      </c>
      <c r="E153" s="184" t="s">
        <v>95</v>
      </c>
      <c r="F153" s="182">
        <v>44476</v>
      </c>
      <c r="G153" s="186" t="s">
        <v>70</v>
      </c>
      <c r="H153" s="184" t="s">
        <v>71</v>
      </c>
      <c r="T153" s="184" t="s">
        <v>485</v>
      </c>
    </row>
    <row r="154" spans="1:20">
      <c r="A154" s="182">
        <v>44294</v>
      </c>
      <c r="B154" s="183">
        <v>0.46050925925925923</v>
      </c>
      <c r="C154" s="184" t="s">
        <v>73</v>
      </c>
      <c r="D154" s="184" t="s">
        <v>68</v>
      </c>
      <c r="E154" s="184" t="s">
        <v>19</v>
      </c>
      <c r="F154" s="182">
        <v>44368</v>
      </c>
      <c r="G154" s="186" t="s">
        <v>94</v>
      </c>
      <c r="H154" s="184" t="s">
        <v>103</v>
      </c>
      <c r="T154" s="184" t="s">
        <v>485</v>
      </c>
    </row>
    <row r="155" spans="1:20">
      <c r="A155" s="182">
        <v>44294</v>
      </c>
      <c r="B155" s="183">
        <v>0.49565972222222227</v>
      </c>
      <c r="C155" s="184" t="s">
        <v>73</v>
      </c>
      <c r="D155" s="184" t="s">
        <v>68</v>
      </c>
      <c r="E155" s="184" t="s">
        <v>45</v>
      </c>
      <c r="F155" s="182">
        <v>44526</v>
      </c>
      <c r="G155" s="186" t="s">
        <v>70</v>
      </c>
      <c r="H155" s="184" t="s">
        <v>71</v>
      </c>
      <c r="T155" s="184" t="s">
        <v>512</v>
      </c>
    </row>
    <row r="156" spans="1:20">
      <c r="A156" s="182">
        <v>44294</v>
      </c>
      <c r="B156" s="183">
        <v>0.57452546296296292</v>
      </c>
      <c r="C156" s="184" t="s">
        <v>73</v>
      </c>
      <c r="D156" s="184" t="s">
        <v>68</v>
      </c>
      <c r="E156" s="184" t="s">
        <v>96</v>
      </c>
      <c r="F156" s="182">
        <v>44334</v>
      </c>
      <c r="G156" s="186" t="s">
        <v>94</v>
      </c>
      <c r="H156" s="184" t="s">
        <v>231</v>
      </c>
      <c r="T156" s="184" t="s">
        <v>513</v>
      </c>
    </row>
    <row r="157" spans="1:20">
      <c r="A157" s="182">
        <v>44294</v>
      </c>
      <c r="B157" s="183">
        <v>0.62307870370370366</v>
      </c>
      <c r="C157" s="184" t="s">
        <v>73</v>
      </c>
      <c r="D157" s="184" t="s">
        <v>68</v>
      </c>
      <c r="E157" s="184" t="s">
        <v>45</v>
      </c>
      <c r="F157" s="182">
        <v>44310</v>
      </c>
      <c r="G157" s="186" t="s">
        <v>160</v>
      </c>
      <c r="H157" s="184" t="s">
        <v>259</v>
      </c>
      <c r="T157" s="184" t="s">
        <v>511</v>
      </c>
    </row>
    <row r="158" spans="1:20">
      <c r="A158" s="182">
        <v>44294</v>
      </c>
      <c r="B158" s="183">
        <v>0.67053240740740738</v>
      </c>
      <c r="C158" s="184" t="s">
        <v>73</v>
      </c>
      <c r="D158" s="184" t="s">
        <v>68</v>
      </c>
      <c r="E158" s="184" t="s">
        <v>96</v>
      </c>
      <c r="F158" s="182">
        <v>44334</v>
      </c>
      <c r="G158" s="186" t="s">
        <v>114</v>
      </c>
      <c r="H158" s="184" t="s">
        <v>241</v>
      </c>
      <c r="T158" s="184" t="s">
        <v>514</v>
      </c>
    </row>
    <row r="159" spans="1:20">
      <c r="A159" s="182">
        <v>44295</v>
      </c>
      <c r="B159" s="183">
        <v>0.37918981481481479</v>
      </c>
      <c r="C159" s="184" t="s">
        <v>73</v>
      </c>
      <c r="D159" s="184" t="s">
        <v>68</v>
      </c>
      <c r="E159" s="184" t="s">
        <v>96</v>
      </c>
      <c r="F159" s="182">
        <v>44398</v>
      </c>
      <c r="G159" s="186" t="s">
        <v>99</v>
      </c>
      <c r="H159" s="184" t="s">
        <v>71</v>
      </c>
      <c r="T159" s="184" t="s">
        <v>515</v>
      </c>
    </row>
    <row r="160" spans="1:20">
      <c r="A160" s="182">
        <v>44295</v>
      </c>
      <c r="B160" s="183">
        <v>0.40552083333333333</v>
      </c>
      <c r="C160" s="184" t="s">
        <v>73</v>
      </c>
      <c r="D160" s="184" t="s">
        <v>91</v>
      </c>
      <c r="E160" s="184" t="s">
        <v>96</v>
      </c>
      <c r="F160" s="182">
        <v>44334</v>
      </c>
      <c r="G160" s="186" t="s">
        <v>94</v>
      </c>
      <c r="H160" s="184" t="s">
        <v>229</v>
      </c>
    </row>
    <row r="161" spans="1:20">
      <c r="A161" s="182">
        <v>44295</v>
      </c>
      <c r="B161" s="183">
        <v>0.45674768518518521</v>
      </c>
      <c r="C161" s="184" t="s">
        <v>73</v>
      </c>
      <c r="D161" s="184" t="s">
        <v>78</v>
      </c>
      <c r="E161" s="184" t="s">
        <v>19</v>
      </c>
      <c r="F161" s="182">
        <v>44368</v>
      </c>
      <c r="G161" s="186" t="s">
        <v>94</v>
      </c>
      <c r="H161" s="184" t="s">
        <v>327</v>
      </c>
    </row>
    <row r="162" spans="1:20">
      <c r="A162" s="182">
        <v>44295</v>
      </c>
      <c r="B162" s="183">
        <v>0.58824074074074073</v>
      </c>
      <c r="C162" s="184" t="s">
        <v>73</v>
      </c>
      <c r="D162" s="184" t="s">
        <v>159</v>
      </c>
      <c r="E162" s="184" t="s">
        <v>19</v>
      </c>
      <c r="F162" s="182">
        <v>44460</v>
      </c>
      <c r="G162" s="186" t="s">
        <v>105</v>
      </c>
      <c r="H162" s="184" t="s">
        <v>228</v>
      </c>
    </row>
    <row r="163" spans="1:20">
      <c r="A163" s="182">
        <v>44295</v>
      </c>
      <c r="B163" s="183">
        <v>0.66413194444444446</v>
      </c>
      <c r="C163" s="184" t="s">
        <v>73</v>
      </c>
      <c r="D163" s="184" t="s">
        <v>91</v>
      </c>
      <c r="E163" s="184" t="s">
        <v>69</v>
      </c>
      <c r="F163" s="182">
        <v>44331</v>
      </c>
      <c r="G163" s="186" t="s">
        <v>94</v>
      </c>
      <c r="H163" s="184" t="s">
        <v>229</v>
      </c>
    </row>
    <row r="164" spans="1:20">
      <c r="A164" s="182">
        <v>44295</v>
      </c>
      <c r="B164" s="183">
        <v>0.66440972222222217</v>
      </c>
      <c r="C164" s="184" t="s">
        <v>73</v>
      </c>
      <c r="D164" s="184" t="s">
        <v>91</v>
      </c>
      <c r="E164" s="184" t="s">
        <v>204</v>
      </c>
      <c r="F164" s="182">
        <v>44357</v>
      </c>
      <c r="G164" s="186" t="s">
        <v>75</v>
      </c>
      <c r="H164" s="184" t="s">
        <v>92</v>
      </c>
    </row>
    <row r="165" spans="1:20">
      <c r="A165" s="182">
        <v>44298</v>
      </c>
      <c r="B165" s="183">
        <v>0.38581018518518517</v>
      </c>
      <c r="C165" s="184" t="s">
        <v>73</v>
      </c>
      <c r="D165" s="184" t="s">
        <v>68</v>
      </c>
      <c r="E165" s="184" t="s">
        <v>96</v>
      </c>
      <c r="F165" s="182">
        <v>44334</v>
      </c>
      <c r="G165" s="186" t="s">
        <v>94</v>
      </c>
      <c r="H165" s="184" t="s">
        <v>245</v>
      </c>
      <c r="T165" s="184" t="s">
        <v>516</v>
      </c>
    </row>
    <row r="166" spans="1:20">
      <c r="A166" s="182">
        <v>44298</v>
      </c>
      <c r="B166" s="183">
        <v>0.40209490740740739</v>
      </c>
      <c r="C166" s="184" t="s">
        <v>73</v>
      </c>
      <c r="D166" s="184" t="s">
        <v>68</v>
      </c>
      <c r="E166" s="184" t="s">
        <v>69</v>
      </c>
      <c r="F166" s="182">
        <v>44331</v>
      </c>
      <c r="G166" s="186" t="s">
        <v>115</v>
      </c>
      <c r="H166" s="184" t="s">
        <v>117</v>
      </c>
      <c r="T166" s="184" t="s">
        <v>432</v>
      </c>
    </row>
    <row r="167" spans="1:20">
      <c r="A167" s="182">
        <v>44298</v>
      </c>
      <c r="B167" s="183">
        <v>0.40356481481481482</v>
      </c>
      <c r="C167" s="184" t="s">
        <v>73</v>
      </c>
      <c r="D167" s="184" t="s">
        <v>91</v>
      </c>
      <c r="E167" s="184" t="s">
        <v>45</v>
      </c>
      <c r="F167" s="182">
        <v>44358</v>
      </c>
      <c r="G167" s="186" t="s">
        <v>114</v>
      </c>
      <c r="H167" s="184" t="s">
        <v>120</v>
      </c>
    </row>
    <row r="168" spans="1:20">
      <c r="A168" s="182">
        <v>44298</v>
      </c>
      <c r="B168" s="183">
        <v>0.50380787037037034</v>
      </c>
      <c r="C168" s="184" t="s">
        <v>73</v>
      </c>
      <c r="D168" s="184" t="s">
        <v>68</v>
      </c>
      <c r="E168" s="184" t="s">
        <v>85</v>
      </c>
      <c r="F168" s="182">
        <v>44396</v>
      </c>
      <c r="G168" s="186" t="s">
        <v>70</v>
      </c>
      <c r="H168" s="184" t="s">
        <v>71</v>
      </c>
      <c r="T168" s="184" t="s">
        <v>517</v>
      </c>
    </row>
    <row r="169" spans="1:20">
      <c r="A169" s="182">
        <v>44298</v>
      </c>
      <c r="B169" s="183">
        <v>0.50533564814814813</v>
      </c>
      <c r="C169" s="184" t="s">
        <v>73</v>
      </c>
      <c r="D169" s="184" t="s">
        <v>78</v>
      </c>
      <c r="E169" s="184" t="s">
        <v>19</v>
      </c>
      <c r="F169" s="182">
        <v>44368</v>
      </c>
      <c r="G169" s="186" t="s">
        <v>94</v>
      </c>
      <c r="H169" s="184" t="s">
        <v>82</v>
      </c>
    </row>
    <row r="170" spans="1:20">
      <c r="A170" s="182">
        <v>44298</v>
      </c>
      <c r="B170" s="183">
        <v>0.59422453703703704</v>
      </c>
      <c r="C170" s="184" t="s">
        <v>73</v>
      </c>
      <c r="D170" s="184" t="s">
        <v>78</v>
      </c>
      <c r="E170" s="184" t="s">
        <v>19</v>
      </c>
      <c r="F170" s="182">
        <v>44368</v>
      </c>
      <c r="G170" s="186" t="s">
        <v>114</v>
      </c>
      <c r="H170" s="184" t="s">
        <v>98</v>
      </c>
    </row>
    <row r="171" spans="1:20">
      <c r="A171" s="182">
        <v>44298</v>
      </c>
      <c r="B171" s="183">
        <v>0.61853009259259262</v>
      </c>
      <c r="C171" s="184" t="s">
        <v>73</v>
      </c>
      <c r="D171" s="184" t="s">
        <v>68</v>
      </c>
      <c r="E171" s="184" t="s">
        <v>19</v>
      </c>
      <c r="F171" s="182">
        <v>44504</v>
      </c>
      <c r="G171" s="186" t="s">
        <v>70</v>
      </c>
      <c r="H171" s="184" t="s">
        <v>71</v>
      </c>
      <c r="T171" s="184" t="s">
        <v>518</v>
      </c>
    </row>
    <row r="172" spans="1:20">
      <c r="A172" s="182">
        <v>44298</v>
      </c>
      <c r="B172" s="183">
        <v>0.61993055555555554</v>
      </c>
      <c r="C172" s="184" t="s">
        <v>73</v>
      </c>
      <c r="D172" s="184" t="s">
        <v>68</v>
      </c>
      <c r="E172" s="184" t="s">
        <v>19</v>
      </c>
      <c r="F172" s="182">
        <v>44573</v>
      </c>
      <c r="G172" s="186" t="s">
        <v>70</v>
      </c>
      <c r="H172" s="184" t="s">
        <v>71</v>
      </c>
      <c r="T172" s="184" t="s">
        <v>518</v>
      </c>
    </row>
    <row r="173" spans="1:20">
      <c r="A173" s="182">
        <v>44298</v>
      </c>
      <c r="B173" s="183">
        <v>0.6205208333333333</v>
      </c>
      <c r="C173" s="184" t="s">
        <v>73</v>
      </c>
      <c r="D173" s="184" t="s">
        <v>68</v>
      </c>
      <c r="E173" s="184" t="s">
        <v>124</v>
      </c>
      <c r="F173" s="182">
        <v>44491</v>
      </c>
      <c r="G173" s="186" t="s">
        <v>94</v>
      </c>
      <c r="H173" s="184" t="s">
        <v>206</v>
      </c>
      <c r="T173" s="184" t="s">
        <v>518</v>
      </c>
    </row>
    <row r="174" spans="1:20">
      <c r="A174" s="182">
        <v>44298</v>
      </c>
      <c r="B174" s="183">
        <v>0.62106481481481479</v>
      </c>
      <c r="C174" s="184" t="s">
        <v>73</v>
      </c>
      <c r="D174" s="184" t="s">
        <v>68</v>
      </c>
      <c r="E174" s="184" t="s">
        <v>124</v>
      </c>
      <c r="F174" s="182">
        <v>44589</v>
      </c>
      <c r="G174" s="186" t="s">
        <v>94</v>
      </c>
      <c r="H174" s="184" t="s">
        <v>206</v>
      </c>
      <c r="T174" s="184" t="s">
        <v>518</v>
      </c>
    </row>
    <row r="175" spans="1:20">
      <c r="A175" s="182">
        <v>44299</v>
      </c>
      <c r="B175" s="183">
        <v>0.3871412037037037</v>
      </c>
      <c r="C175" s="184" t="s">
        <v>73</v>
      </c>
      <c r="D175" s="184" t="s">
        <v>68</v>
      </c>
      <c r="E175" s="184" t="s">
        <v>95</v>
      </c>
      <c r="F175" s="182">
        <v>44384</v>
      </c>
      <c r="G175" s="186" t="s">
        <v>112</v>
      </c>
      <c r="H175" s="184" t="s">
        <v>182</v>
      </c>
      <c r="T175" s="184" t="s">
        <v>519</v>
      </c>
    </row>
    <row r="176" spans="1:20">
      <c r="A176" s="182">
        <v>44299</v>
      </c>
      <c r="B176" s="183">
        <v>0.58377314814814818</v>
      </c>
      <c r="C176" s="184" t="s">
        <v>73</v>
      </c>
      <c r="D176" s="184" t="s">
        <v>78</v>
      </c>
      <c r="E176" s="184" t="s">
        <v>96</v>
      </c>
      <c r="F176" s="182">
        <v>44398</v>
      </c>
      <c r="G176" s="186" t="s">
        <v>70</v>
      </c>
      <c r="H176" s="184" t="s">
        <v>86</v>
      </c>
    </row>
    <row r="177" spans="1:20">
      <c r="A177" s="182">
        <v>44299</v>
      </c>
      <c r="B177" s="183">
        <v>0.58384259259259264</v>
      </c>
      <c r="C177" s="184" t="s">
        <v>73</v>
      </c>
      <c r="D177" s="184" t="s">
        <v>78</v>
      </c>
      <c r="E177" s="184" t="s">
        <v>69</v>
      </c>
      <c r="F177" s="182">
        <v>44331</v>
      </c>
      <c r="G177" s="186" t="s">
        <v>114</v>
      </c>
      <c r="H177" s="184" t="s">
        <v>186</v>
      </c>
    </row>
    <row r="178" spans="1:20">
      <c r="A178" s="182">
        <v>44299</v>
      </c>
      <c r="B178" s="183">
        <v>0.62695601851851845</v>
      </c>
      <c r="C178" s="184" t="s">
        <v>73</v>
      </c>
      <c r="D178" s="184" t="s">
        <v>68</v>
      </c>
      <c r="E178" s="184" t="s">
        <v>19</v>
      </c>
      <c r="F178" s="182">
        <v>44368</v>
      </c>
      <c r="G178" s="186" t="s">
        <v>112</v>
      </c>
      <c r="H178" s="184" t="s">
        <v>259</v>
      </c>
      <c r="T178" s="184" t="s">
        <v>110</v>
      </c>
    </row>
    <row r="179" spans="1:20">
      <c r="A179" s="182">
        <v>44299</v>
      </c>
      <c r="B179" s="183">
        <v>0.62775462962962958</v>
      </c>
      <c r="C179" s="184" t="s">
        <v>73</v>
      </c>
      <c r="D179" s="184" t="s">
        <v>68</v>
      </c>
      <c r="E179" s="184" t="s">
        <v>45</v>
      </c>
      <c r="F179" s="182">
        <v>44358</v>
      </c>
      <c r="G179" s="186" t="s">
        <v>112</v>
      </c>
      <c r="H179" s="184" t="s">
        <v>182</v>
      </c>
      <c r="T179" s="184" t="s">
        <v>110</v>
      </c>
    </row>
    <row r="180" spans="1:20">
      <c r="A180" s="182">
        <v>44300</v>
      </c>
      <c r="B180" s="183">
        <v>0.44892361111111106</v>
      </c>
      <c r="C180" s="184" t="s">
        <v>73</v>
      </c>
      <c r="D180" s="184" t="s">
        <v>91</v>
      </c>
      <c r="E180" s="184" t="s">
        <v>204</v>
      </c>
      <c r="F180" s="182">
        <v>44470</v>
      </c>
      <c r="G180" s="186" t="s">
        <v>75</v>
      </c>
      <c r="H180" s="184" t="s">
        <v>92</v>
      </c>
    </row>
    <row r="181" spans="1:20">
      <c r="A181" s="182">
        <v>44300</v>
      </c>
      <c r="B181" s="183">
        <v>0.50763888888888886</v>
      </c>
      <c r="C181" s="184" t="s">
        <v>73</v>
      </c>
      <c r="D181" s="184" t="s">
        <v>91</v>
      </c>
      <c r="E181" s="184" t="s">
        <v>85</v>
      </c>
      <c r="F181" s="182">
        <v>44396</v>
      </c>
      <c r="G181" s="186" t="s">
        <v>94</v>
      </c>
      <c r="H181" s="184" t="s">
        <v>285</v>
      </c>
    </row>
    <row r="182" spans="1:20">
      <c r="A182" s="182">
        <v>44300</v>
      </c>
      <c r="B182" s="183">
        <v>0.54131944444444446</v>
      </c>
      <c r="C182" s="184" t="s">
        <v>73</v>
      </c>
      <c r="D182" s="184" t="s">
        <v>68</v>
      </c>
      <c r="E182" s="184" t="s">
        <v>19</v>
      </c>
      <c r="F182" s="182">
        <v>44368</v>
      </c>
      <c r="G182" s="186" t="s">
        <v>94</v>
      </c>
      <c r="H182" s="184" t="s">
        <v>273</v>
      </c>
      <c r="T182" s="184" t="s">
        <v>520</v>
      </c>
    </row>
    <row r="183" spans="1:20">
      <c r="A183" s="182">
        <v>44301</v>
      </c>
      <c r="B183" s="183">
        <v>0.42719907407407409</v>
      </c>
      <c r="C183" s="184" t="s">
        <v>73</v>
      </c>
      <c r="D183" s="184" t="s">
        <v>91</v>
      </c>
      <c r="E183" s="184" t="s">
        <v>19</v>
      </c>
      <c r="F183" s="182">
        <v>44368</v>
      </c>
      <c r="G183" s="186" t="s">
        <v>94</v>
      </c>
      <c r="H183" s="184" t="s">
        <v>296</v>
      </c>
    </row>
    <row r="184" spans="1:20">
      <c r="A184" s="182">
        <v>44301</v>
      </c>
      <c r="B184" s="183">
        <v>0.46804398148148146</v>
      </c>
      <c r="C184" s="184" t="s">
        <v>73</v>
      </c>
      <c r="D184" s="184" t="s">
        <v>78</v>
      </c>
      <c r="E184" s="184" t="s">
        <v>96</v>
      </c>
      <c r="F184" s="182">
        <v>44334</v>
      </c>
      <c r="G184" s="186" t="s">
        <v>99</v>
      </c>
      <c r="H184" s="184" t="s">
        <v>106</v>
      </c>
    </row>
    <row r="185" spans="1:20">
      <c r="A185" s="182">
        <v>44301</v>
      </c>
      <c r="B185" s="183">
        <v>0.46807870370370369</v>
      </c>
      <c r="C185" s="184" t="s">
        <v>73</v>
      </c>
      <c r="D185" s="184" t="s">
        <v>78</v>
      </c>
      <c r="E185" s="184" t="s">
        <v>96</v>
      </c>
      <c r="F185" s="182">
        <v>44334</v>
      </c>
      <c r="G185" s="186" t="s">
        <v>238</v>
      </c>
      <c r="H185" s="184" t="s">
        <v>106</v>
      </c>
    </row>
    <row r="186" spans="1:20">
      <c r="A186" s="182">
        <v>44301</v>
      </c>
      <c r="B186" s="183">
        <v>0.47008101851851852</v>
      </c>
      <c r="C186" s="184" t="s">
        <v>73</v>
      </c>
      <c r="D186" s="184" t="s">
        <v>78</v>
      </c>
      <c r="E186" s="184" t="s">
        <v>96</v>
      </c>
      <c r="F186" s="182">
        <v>44334</v>
      </c>
      <c r="G186" s="186" t="s">
        <v>99</v>
      </c>
      <c r="H186" s="184" t="s">
        <v>107</v>
      </c>
    </row>
    <row r="187" spans="1:20">
      <c r="A187" s="182">
        <v>44301</v>
      </c>
      <c r="B187" s="183">
        <v>0.47430555555555554</v>
      </c>
      <c r="C187" s="184" t="s">
        <v>73</v>
      </c>
      <c r="D187" s="184" t="s">
        <v>68</v>
      </c>
      <c r="E187" s="184" t="s">
        <v>96</v>
      </c>
      <c r="F187" s="182">
        <v>44334</v>
      </c>
      <c r="G187" s="186" t="s">
        <v>94</v>
      </c>
      <c r="H187" s="184" t="s">
        <v>521</v>
      </c>
      <c r="T187" s="184" t="s">
        <v>522</v>
      </c>
    </row>
    <row r="188" spans="1:20">
      <c r="A188" s="182">
        <v>44301</v>
      </c>
      <c r="B188" s="183">
        <v>0.47479166666666667</v>
      </c>
      <c r="C188" s="184" t="s">
        <v>73</v>
      </c>
      <c r="D188" s="184" t="s">
        <v>68</v>
      </c>
      <c r="E188" s="184" t="s">
        <v>96</v>
      </c>
      <c r="F188" s="182">
        <v>44334</v>
      </c>
      <c r="G188" s="186" t="s">
        <v>94</v>
      </c>
      <c r="H188" s="184" t="s">
        <v>392</v>
      </c>
      <c r="T188" s="184" t="s">
        <v>455</v>
      </c>
    </row>
    <row r="189" spans="1:20">
      <c r="A189" s="182">
        <v>44301</v>
      </c>
      <c r="B189" s="183">
        <v>0.59493055555555552</v>
      </c>
      <c r="C189" s="184" t="s">
        <v>73</v>
      </c>
      <c r="D189" s="184" t="s">
        <v>68</v>
      </c>
      <c r="E189" s="184" t="s">
        <v>19</v>
      </c>
      <c r="F189" s="182">
        <v>44368</v>
      </c>
      <c r="G189" s="186" t="s">
        <v>70</v>
      </c>
      <c r="H189" s="184" t="s">
        <v>261</v>
      </c>
      <c r="T189" s="184" t="s">
        <v>523</v>
      </c>
    </row>
    <row r="190" spans="1:20">
      <c r="A190" s="182">
        <v>44301</v>
      </c>
      <c r="B190" s="183">
        <v>0.63510416666666669</v>
      </c>
      <c r="C190" s="184" t="s">
        <v>73</v>
      </c>
      <c r="D190" s="184" t="s">
        <v>68</v>
      </c>
      <c r="E190" s="184" t="s">
        <v>96</v>
      </c>
      <c r="F190" s="182">
        <v>44334</v>
      </c>
      <c r="G190" s="186" t="s">
        <v>112</v>
      </c>
      <c r="H190" s="184" t="s">
        <v>243</v>
      </c>
      <c r="T190" s="184" t="s">
        <v>478</v>
      </c>
    </row>
    <row r="191" spans="1:20">
      <c r="A191" s="182">
        <v>44301</v>
      </c>
      <c r="B191" s="183">
        <v>0.63723379629629628</v>
      </c>
      <c r="C191" s="184" t="s">
        <v>73</v>
      </c>
      <c r="D191" s="184" t="s">
        <v>78</v>
      </c>
      <c r="E191" s="184" t="s">
        <v>69</v>
      </c>
      <c r="F191" s="182">
        <v>44331</v>
      </c>
      <c r="G191" s="186" t="s">
        <v>112</v>
      </c>
      <c r="H191" s="184" t="s">
        <v>224</v>
      </c>
    </row>
    <row r="192" spans="1:20">
      <c r="A192" s="182">
        <v>44301</v>
      </c>
      <c r="B192" s="183">
        <v>0.64643518518518517</v>
      </c>
      <c r="C192" s="184" t="s">
        <v>73</v>
      </c>
      <c r="D192" s="184" t="s">
        <v>91</v>
      </c>
      <c r="E192" s="184" t="s">
        <v>69</v>
      </c>
      <c r="F192" s="182">
        <v>44331</v>
      </c>
      <c r="G192" s="186" t="s">
        <v>94</v>
      </c>
      <c r="H192" s="184" t="s">
        <v>189</v>
      </c>
    </row>
    <row r="193" spans="1:20">
      <c r="A193" s="182">
        <v>44301</v>
      </c>
      <c r="B193" s="183">
        <v>0.69630787037037034</v>
      </c>
      <c r="C193" s="184" t="s">
        <v>73</v>
      </c>
      <c r="D193" s="184" t="s">
        <v>68</v>
      </c>
      <c r="E193" s="184" t="s">
        <v>204</v>
      </c>
      <c r="F193" s="182">
        <v>44357</v>
      </c>
      <c r="G193" s="186" t="s">
        <v>524</v>
      </c>
      <c r="H193" s="184" t="s">
        <v>256</v>
      </c>
      <c r="T193" s="184" t="s">
        <v>478</v>
      </c>
    </row>
    <row r="194" spans="1:20">
      <c r="A194" s="182">
        <v>44301</v>
      </c>
      <c r="B194" s="183">
        <v>0.69696759259259267</v>
      </c>
      <c r="C194" s="184" t="s">
        <v>73</v>
      </c>
      <c r="D194" s="184" t="s">
        <v>68</v>
      </c>
      <c r="E194" s="184" t="s">
        <v>19</v>
      </c>
      <c r="F194" s="182">
        <v>44368</v>
      </c>
      <c r="G194" s="186" t="s">
        <v>112</v>
      </c>
      <c r="H194" s="184" t="s">
        <v>305</v>
      </c>
      <c r="T194" s="184" t="s">
        <v>478</v>
      </c>
    </row>
    <row r="195" spans="1:20">
      <c r="A195" s="182">
        <v>44301</v>
      </c>
      <c r="B195" s="183">
        <v>0.69928240740740744</v>
      </c>
      <c r="C195" s="184" t="s">
        <v>73</v>
      </c>
      <c r="D195" s="184" t="s">
        <v>68</v>
      </c>
      <c r="E195" s="184" t="s">
        <v>95</v>
      </c>
      <c r="F195" s="182">
        <v>44384</v>
      </c>
      <c r="G195" s="186" t="s">
        <v>83</v>
      </c>
      <c r="H195" s="184" t="s">
        <v>261</v>
      </c>
      <c r="T195" s="184" t="s">
        <v>478</v>
      </c>
    </row>
    <row r="196" spans="1:20">
      <c r="A196" s="182">
        <v>44302</v>
      </c>
      <c r="B196" s="183">
        <v>0.38822916666666668</v>
      </c>
      <c r="C196" s="184" t="s">
        <v>73</v>
      </c>
      <c r="D196" s="184" t="s">
        <v>68</v>
      </c>
      <c r="E196" s="184" t="s">
        <v>45</v>
      </c>
      <c r="F196" s="182">
        <v>44358</v>
      </c>
      <c r="G196" s="186" t="s">
        <v>178</v>
      </c>
      <c r="H196" s="184" t="s">
        <v>260</v>
      </c>
      <c r="T196" s="184" t="s">
        <v>257</v>
      </c>
    </row>
    <row r="197" spans="1:20">
      <c r="A197" s="182">
        <v>44302</v>
      </c>
      <c r="B197" s="183">
        <v>0.4682986111111111</v>
      </c>
      <c r="C197" s="184" t="s">
        <v>73</v>
      </c>
      <c r="D197" s="184" t="s">
        <v>91</v>
      </c>
      <c r="E197" s="184" t="s">
        <v>96</v>
      </c>
      <c r="F197" s="182">
        <v>44334</v>
      </c>
      <c r="G197" s="186" t="s">
        <v>94</v>
      </c>
      <c r="H197" s="184" t="s">
        <v>189</v>
      </c>
    </row>
    <row r="198" spans="1:20">
      <c r="A198" s="182">
        <v>44302</v>
      </c>
      <c r="B198" s="183">
        <v>0.57422453703703702</v>
      </c>
      <c r="C198" s="184" t="s">
        <v>73</v>
      </c>
      <c r="D198" s="184" t="s">
        <v>68</v>
      </c>
      <c r="E198" s="184" t="s">
        <v>85</v>
      </c>
      <c r="F198" s="182">
        <v>44337</v>
      </c>
      <c r="G198" s="186" t="s">
        <v>94</v>
      </c>
      <c r="H198" s="184" t="s">
        <v>103</v>
      </c>
      <c r="T198" s="184" t="s">
        <v>152</v>
      </c>
    </row>
    <row r="199" spans="1:20">
      <c r="A199" s="182">
        <v>44302</v>
      </c>
      <c r="B199" s="183">
        <v>0.57681712962962961</v>
      </c>
      <c r="C199" s="184" t="s">
        <v>73</v>
      </c>
      <c r="D199" s="184" t="s">
        <v>78</v>
      </c>
      <c r="E199" s="184" t="s">
        <v>69</v>
      </c>
      <c r="F199" s="182">
        <v>44331</v>
      </c>
      <c r="G199" s="186" t="s">
        <v>115</v>
      </c>
      <c r="H199" s="184" t="s">
        <v>208</v>
      </c>
    </row>
    <row r="200" spans="1:20">
      <c r="A200" s="182">
        <v>44302</v>
      </c>
      <c r="B200" s="183">
        <v>0.57712962962962966</v>
      </c>
      <c r="C200" s="184" t="s">
        <v>73</v>
      </c>
      <c r="D200" s="184" t="s">
        <v>68</v>
      </c>
      <c r="E200" s="184" t="s">
        <v>69</v>
      </c>
      <c r="F200" s="182">
        <v>44331</v>
      </c>
      <c r="G200" s="186" t="s">
        <v>114</v>
      </c>
      <c r="H200" s="184" t="s">
        <v>273</v>
      </c>
      <c r="T200" s="184" t="s">
        <v>519</v>
      </c>
    </row>
    <row r="201" spans="1:20">
      <c r="A201" s="182">
        <v>44302</v>
      </c>
      <c r="B201" s="183">
        <v>0.5920023148148148</v>
      </c>
      <c r="C201" s="184" t="s">
        <v>73</v>
      </c>
      <c r="D201" s="184" t="s">
        <v>91</v>
      </c>
      <c r="E201" s="184" t="s">
        <v>45</v>
      </c>
      <c r="F201" s="182">
        <v>44358</v>
      </c>
      <c r="G201" s="186" t="s">
        <v>94</v>
      </c>
      <c r="H201" s="184" t="s">
        <v>229</v>
      </c>
    </row>
    <row r="202" spans="1:20">
      <c r="A202" s="182">
        <v>44302</v>
      </c>
      <c r="B202" s="183">
        <v>0.59354166666666663</v>
      </c>
      <c r="C202" s="184" t="s">
        <v>73</v>
      </c>
      <c r="D202" s="184" t="s">
        <v>91</v>
      </c>
      <c r="E202" s="184" t="s">
        <v>95</v>
      </c>
      <c r="F202" s="182">
        <v>44384</v>
      </c>
      <c r="G202" s="186" t="s">
        <v>94</v>
      </c>
      <c r="H202" s="184" t="s">
        <v>193</v>
      </c>
    </row>
    <row r="203" spans="1:20">
      <c r="A203" s="182">
        <v>44302</v>
      </c>
      <c r="B203" s="183">
        <v>0.59469907407407407</v>
      </c>
      <c r="C203" s="184" t="s">
        <v>73</v>
      </c>
      <c r="D203" s="184" t="s">
        <v>78</v>
      </c>
      <c r="E203" s="184" t="s">
        <v>45</v>
      </c>
      <c r="F203" s="182">
        <v>44358</v>
      </c>
      <c r="G203" s="186" t="s">
        <v>94</v>
      </c>
      <c r="H203" s="184" t="s">
        <v>106</v>
      </c>
    </row>
    <row r="204" spans="1:20">
      <c r="A204" s="182">
        <v>44302</v>
      </c>
      <c r="B204" s="183">
        <v>0.59483796296296299</v>
      </c>
      <c r="C204" s="184" t="s">
        <v>73</v>
      </c>
      <c r="D204" s="184" t="s">
        <v>78</v>
      </c>
      <c r="E204" s="184" t="s">
        <v>19</v>
      </c>
      <c r="F204" s="182">
        <v>44460</v>
      </c>
      <c r="G204" s="186" t="s">
        <v>70</v>
      </c>
      <c r="H204" s="184" t="s">
        <v>86</v>
      </c>
    </row>
    <row r="205" spans="1:20">
      <c r="A205" s="182">
        <v>44305</v>
      </c>
      <c r="B205" s="183">
        <v>0.52436342592592589</v>
      </c>
      <c r="C205" s="184" t="s">
        <v>73</v>
      </c>
      <c r="D205" s="184" t="s">
        <v>91</v>
      </c>
      <c r="E205" s="184" t="s">
        <v>85</v>
      </c>
      <c r="F205" s="182">
        <v>44337</v>
      </c>
      <c r="G205" s="186" t="s">
        <v>94</v>
      </c>
      <c r="H205" s="184" t="s">
        <v>189</v>
      </c>
    </row>
    <row r="206" spans="1:20">
      <c r="A206" s="182">
        <v>44305</v>
      </c>
      <c r="B206" s="183">
        <v>0.54143518518518519</v>
      </c>
      <c r="C206" s="184" t="s">
        <v>73</v>
      </c>
      <c r="D206" s="184" t="s">
        <v>68</v>
      </c>
      <c r="E206" s="184" t="s">
        <v>96</v>
      </c>
      <c r="F206" s="182">
        <v>44508</v>
      </c>
      <c r="G206" s="186" t="s">
        <v>70</v>
      </c>
      <c r="H206" s="184" t="s">
        <v>272</v>
      </c>
      <c r="T206" s="184" t="s">
        <v>345</v>
      </c>
    </row>
    <row r="207" spans="1:20">
      <c r="A207" s="182">
        <v>44305</v>
      </c>
      <c r="B207" s="183">
        <v>0.55045138888888889</v>
      </c>
      <c r="C207" s="184" t="s">
        <v>73</v>
      </c>
      <c r="D207" s="184" t="s">
        <v>68</v>
      </c>
      <c r="E207" s="184" t="s">
        <v>85</v>
      </c>
      <c r="F207" s="182">
        <v>44337</v>
      </c>
      <c r="G207" s="186" t="s">
        <v>94</v>
      </c>
      <c r="H207" s="184" t="s">
        <v>182</v>
      </c>
      <c r="T207" s="184" t="s">
        <v>525</v>
      </c>
    </row>
    <row r="208" spans="1:20">
      <c r="A208" s="182">
        <v>44306</v>
      </c>
      <c r="B208" s="183">
        <v>0.42450231481481482</v>
      </c>
      <c r="C208" s="184" t="s">
        <v>73</v>
      </c>
      <c r="D208" s="184" t="s">
        <v>68</v>
      </c>
      <c r="E208" s="184" t="s">
        <v>96</v>
      </c>
      <c r="F208" s="182">
        <v>44334</v>
      </c>
      <c r="G208" s="186" t="s">
        <v>115</v>
      </c>
      <c r="H208" s="184" t="s">
        <v>247</v>
      </c>
      <c r="T208" s="184" t="s">
        <v>514</v>
      </c>
    </row>
    <row r="209" spans="1:20">
      <c r="A209" s="182">
        <v>44306</v>
      </c>
      <c r="B209" s="183">
        <v>0.42814814814814817</v>
      </c>
      <c r="C209" s="184" t="s">
        <v>73</v>
      </c>
      <c r="D209" s="184" t="s">
        <v>68</v>
      </c>
      <c r="E209" s="184" t="s">
        <v>96</v>
      </c>
      <c r="F209" s="182">
        <v>44334</v>
      </c>
      <c r="G209" s="186" t="s">
        <v>114</v>
      </c>
      <c r="H209" s="184" t="s">
        <v>243</v>
      </c>
      <c r="T209" s="184" t="s">
        <v>375</v>
      </c>
    </row>
    <row r="210" spans="1:20">
      <c r="A210" s="182">
        <v>44306</v>
      </c>
      <c r="B210" s="183">
        <v>0.43124999999999997</v>
      </c>
      <c r="C210" s="184" t="s">
        <v>73</v>
      </c>
      <c r="D210" s="184" t="s">
        <v>68</v>
      </c>
      <c r="E210" s="184" t="s">
        <v>69</v>
      </c>
      <c r="F210" s="182">
        <v>44456</v>
      </c>
      <c r="G210" s="186" t="s">
        <v>70</v>
      </c>
      <c r="H210" s="184" t="s">
        <v>71</v>
      </c>
      <c r="T210" s="184" t="s">
        <v>257</v>
      </c>
    </row>
    <row r="211" spans="1:20">
      <c r="A211" s="182">
        <v>44306</v>
      </c>
      <c r="B211" s="183">
        <v>0.43509259259259259</v>
      </c>
      <c r="C211" s="184" t="s">
        <v>73</v>
      </c>
      <c r="D211" s="184" t="s">
        <v>68</v>
      </c>
      <c r="E211" s="184" t="s">
        <v>19</v>
      </c>
      <c r="F211" s="182">
        <v>44368</v>
      </c>
      <c r="G211" s="186" t="s">
        <v>94</v>
      </c>
      <c r="H211" s="184" t="s">
        <v>322</v>
      </c>
      <c r="T211" s="184" t="s">
        <v>257</v>
      </c>
    </row>
    <row r="212" spans="1:20">
      <c r="A212" s="182">
        <v>44307</v>
      </c>
      <c r="B212" s="183">
        <v>0.39606481481481487</v>
      </c>
      <c r="C212" s="184" t="s">
        <v>73</v>
      </c>
      <c r="D212" s="184" t="s">
        <v>68</v>
      </c>
      <c r="E212" s="184" t="s">
        <v>89</v>
      </c>
      <c r="F212" s="182">
        <v>44351</v>
      </c>
      <c r="G212" s="186" t="s">
        <v>75</v>
      </c>
      <c r="H212" s="184" t="s">
        <v>76</v>
      </c>
      <c r="T212" s="184" t="s">
        <v>526</v>
      </c>
    </row>
    <row r="213" spans="1:20">
      <c r="A213" s="182">
        <v>44307</v>
      </c>
      <c r="B213" s="183">
        <v>0.39733796296296298</v>
      </c>
      <c r="C213" s="184" t="s">
        <v>73</v>
      </c>
      <c r="D213" s="184" t="s">
        <v>68</v>
      </c>
      <c r="E213" s="184" t="s">
        <v>89</v>
      </c>
      <c r="F213" s="182">
        <v>44351</v>
      </c>
      <c r="G213" s="186" t="s">
        <v>94</v>
      </c>
      <c r="H213" s="184" t="s">
        <v>87</v>
      </c>
      <c r="T213" s="184" t="s">
        <v>90</v>
      </c>
    </row>
    <row r="214" spans="1:20">
      <c r="A214" s="182">
        <v>44307</v>
      </c>
      <c r="B214" s="183">
        <v>0.39782407407407411</v>
      </c>
      <c r="C214" s="184" t="s">
        <v>73</v>
      </c>
      <c r="D214" s="184" t="s">
        <v>68</v>
      </c>
      <c r="E214" s="184" t="s">
        <v>89</v>
      </c>
      <c r="F214" s="182">
        <v>44351</v>
      </c>
      <c r="G214" s="186" t="s">
        <v>94</v>
      </c>
      <c r="H214" s="184" t="s">
        <v>101</v>
      </c>
      <c r="T214" s="184" t="s">
        <v>507</v>
      </c>
    </row>
    <row r="215" spans="1:20">
      <c r="A215" s="182">
        <v>44307</v>
      </c>
      <c r="B215" s="183">
        <v>0.41898148148148145</v>
      </c>
      <c r="C215" s="184" t="s">
        <v>73</v>
      </c>
      <c r="D215" s="184" t="s">
        <v>68</v>
      </c>
      <c r="E215" s="184" t="s">
        <v>45</v>
      </c>
      <c r="F215" s="182">
        <v>44358</v>
      </c>
      <c r="G215" s="186" t="s">
        <v>114</v>
      </c>
      <c r="H215" s="184" t="s">
        <v>305</v>
      </c>
      <c r="T215" s="184" t="s">
        <v>527</v>
      </c>
    </row>
    <row r="216" spans="1:20">
      <c r="A216" s="182">
        <v>44307</v>
      </c>
      <c r="B216" s="183">
        <v>0.48079861111111111</v>
      </c>
      <c r="C216" s="184" t="s">
        <v>73</v>
      </c>
      <c r="D216" s="184" t="s">
        <v>78</v>
      </c>
      <c r="E216" s="184" t="s">
        <v>96</v>
      </c>
      <c r="F216" s="182">
        <v>44334</v>
      </c>
      <c r="G216" s="186" t="s">
        <v>99</v>
      </c>
      <c r="H216" s="184" t="s">
        <v>86</v>
      </c>
    </row>
    <row r="217" spans="1:20">
      <c r="A217" s="182">
        <v>44307</v>
      </c>
      <c r="B217" s="183">
        <v>0.55721064814814814</v>
      </c>
      <c r="C217" s="184" t="s">
        <v>73</v>
      </c>
      <c r="D217" s="184" t="s">
        <v>68</v>
      </c>
      <c r="E217" s="184" t="s">
        <v>69</v>
      </c>
      <c r="F217" s="182">
        <v>44331</v>
      </c>
      <c r="G217" s="186" t="s">
        <v>99</v>
      </c>
      <c r="H217" s="184" t="s">
        <v>259</v>
      </c>
      <c r="T217" s="184" t="s">
        <v>528</v>
      </c>
    </row>
    <row r="218" spans="1:20">
      <c r="A218" s="182">
        <v>44307</v>
      </c>
      <c r="B218" s="183">
        <v>0.55773148148148144</v>
      </c>
      <c r="C218" s="184" t="s">
        <v>73</v>
      </c>
      <c r="D218" s="184" t="s">
        <v>68</v>
      </c>
      <c r="E218" s="184" t="s">
        <v>69</v>
      </c>
      <c r="F218" s="182">
        <v>44331</v>
      </c>
      <c r="G218" s="186" t="s">
        <v>94</v>
      </c>
      <c r="H218" s="184" t="s">
        <v>273</v>
      </c>
      <c r="T218" s="184" t="s">
        <v>257</v>
      </c>
    </row>
    <row r="219" spans="1:20">
      <c r="A219" s="182">
        <v>44307</v>
      </c>
      <c r="B219" s="183">
        <v>0.55866898148148147</v>
      </c>
      <c r="C219" s="184" t="s">
        <v>73</v>
      </c>
      <c r="D219" s="184" t="s">
        <v>68</v>
      </c>
      <c r="E219" s="184" t="s">
        <v>69</v>
      </c>
      <c r="F219" s="182">
        <v>44456</v>
      </c>
      <c r="G219" s="186" t="s">
        <v>99</v>
      </c>
      <c r="H219" s="184" t="s">
        <v>222</v>
      </c>
      <c r="T219" s="184" t="s">
        <v>257</v>
      </c>
    </row>
    <row r="220" spans="1:20">
      <c r="A220" s="182">
        <v>44307</v>
      </c>
      <c r="B220" s="183">
        <v>0.66743055555555564</v>
      </c>
      <c r="C220" s="184" t="s">
        <v>73</v>
      </c>
      <c r="D220" s="184" t="s">
        <v>91</v>
      </c>
      <c r="E220" s="184" t="s">
        <v>45</v>
      </c>
      <c r="F220" s="182">
        <v>44358</v>
      </c>
      <c r="G220" s="186" t="s">
        <v>94</v>
      </c>
      <c r="H220" s="184" t="s">
        <v>189</v>
      </c>
    </row>
    <row r="221" spans="1:20">
      <c r="A221" s="182">
        <v>44307</v>
      </c>
      <c r="B221" s="183">
        <v>0.6678587962962963</v>
      </c>
      <c r="C221" s="184" t="s">
        <v>73</v>
      </c>
      <c r="D221" s="184" t="s">
        <v>91</v>
      </c>
      <c r="E221" s="184" t="s">
        <v>96</v>
      </c>
      <c r="F221" s="182">
        <v>44398</v>
      </c>
      <c r="G221" s="186" t="s">
        <v>70</v>
      </c>
      <c r="H221" s="184" t="s">
        <v>93</v>
      </c>
    </row>
    <row r="222" spans="1:20">
      <c r="A222" s="182">
        <v>44307</v>
      </c>
      <c r="B222" s="183">
        <v>0.6918981481481481</v>
      </c>
      <c r="C222" s="184" t="s">
        <v>73</v>
      </c>
      <c r="D222" s="184" t="s">
        <v>68</v>
      </c>
      <c r="E222" s="184" t="s">
        <v>96</v>
      </c>
      <c r="F222" s="182">
        <v>44334</v>
      </c>
      <c r="G222" s="186" t="s">
        <v>94</v>
      </c>
      <c r="H222" s="184" t="s">
        <v>529</v>
      </c>
      <c r="T222" s="184" t="s">
        <v>514</v>
      </c>
    </row>
    <row r="223" spans="1:20">
      <c r="A223" s="182">
        <v>44307</v>
      </c>
      <c r="B223" s="183">
        <v>0.6953125</v>
      </c>
      <c r="C223" s="184" t="s">
        <v>73</v>
      </c>
      <c r="D223" s="184" t="s">
        <v>68</v>
      </c>
      <c r="E223" s="184" t="s">
        <v>96</v>
      </c>
      <c r="F223" s="182">
        <v>44334</v>
      </c>
      <c r="G223" s="186" t="s">
        <v>99</v>
      </c>
      <c r="H223" s="184" t="s">
        <v>243</v>
      </c>
      <c r="T223" s="184" t="s">
        <v>514</v>
      </c>
    </row>
    <row r="224" spans="1:20">
      <c r="A224" s="182">
        <v>44308</v>
      </c>
      <c r="B224" s="183">
        <v>0.58070601851851855</v>
      </c>
      <c r="C224" s="184" t="s">
        <v>73</v>
      </c>
      <c r="D224" s="184" t="s">
        <v>68</v>
      </c>
      <c r="E224" s="184" t="s">
        <v>85</v>
      </c>
      <c r="F224" s="182">
        <v>44337</v>
      </c>
      <c r="G224" s="186" t="s">
        <v>94</v>
      </c>
      <c r="H224" s="184" t="s">
        <v>117</v>
      </c>
      <c r="T224" s="184" t="s">
        <v>530</v>
      </c>
    </row>
    <row r="225" spans="1:20">
      <c r="A225" s="182">
        <v>44308</v>
      </c>
      <c r="B225" s="183">
        <v>0.58429398148148148</v>
      </c>
      <c r="C225" s="184" t="s">
        <v>73</v>
      </c>
      <c r="D225" s="184" t="s">
        <v>68</v>
      </c>
      <c r="E225" s="184" t="s">
        <v>89</v>
      </c>
      <c r="F225" s="182">
        <v>44351</v>
      </c>
      <c r="G225" s="186" t="s">
        <v>94</v>
      </c>
      <c r="H225" s="184" t="s">
        <v>103</v>
      </c>
      <c r="T225" s="184" t="s">
        <v>531</v>
      </c>
    </row>
    <row r="226" spans="1:20">
      <c r="A226" s="182">
        <v>44308</v>
      </c>
      <c r="B226" s="183">
        <v>0.59593750000000001</v>
      </c>
      <c r="C226" s="184" t="s">
        <v>73</v>
      </c>
      <c r="D226" s="184" t="s">
        <v>68</v>
      </c>
      <c r="E226" s="184" t="s">
        <v>96</v>
      </c>
      <c r="F226" s="182">
        <v>44334</v>
      </c>
      <c r="G226" s="186" t="s">
        <v>94</v>
      </c>
      <c r="H226" s="184" t="s">
        <v>529</v>
      </c>
      <c r="T226" s="184" t="s">
        <v>532</v>
      </c>
    </row>
    <row r="227" spans="1:20">
      <c r="A227" s="182">
        <v>44308</v>
      </c>
      <c r="B227" s="183">
        <v>0.62876157407407407</v>
      </c>
      <c r="C227" s="184" t="s">
        <v>73</v>
      </c>
      <c r="D227" s="184" t="s">
        <v>68</v>
      </c>
      <c r="E227" s="184" t="s">
        <v>96</v>
      </c>
      <c r="F227" s="182">
        <v>44398</v>
      </c>
      <c r="G227" s="186" t="s">
        <v>94</v>
      </c>
      <c r="H227" s="184" t="s">
        <v>76</v>
      </c>
      <c r="T227" s="184" t="s">
        <v>533</v>
      </c>
    </row>
    <row r="228" spans="1:20">
      <c r="A228" s="182">
        <v>44308</v>
      </c>
      <c r="B228" s="183">
        <v>0.63158564814814822</v>
      </c>
      <c r="C228" s="184" t="s">
        <v>73</v>
      </c>
      <c r="D228" s="184" t="s">
        <v>68</v>
      </c>
      <c r="E228" s="184" t="s">
        <v>96</v>
      </c>
      <c r="F228" s="182">
        <v>44398</v>
      </c>
      <c r="G228" s="186" t="s">
        <v>99</v>
      </c>
      <c r="H228" s="184" t="s">
        <v>71</v>
      </c>
      <c r="T228" s="184" t="s">
        <v>533</v>
      </c>
    </row>
    <row r="229" spans="1:20">
      <c r="A229" s="182">
        <v>44312</v>
      </c>
      <c r="B229" s="183">
        <v>0.42722222222222223</v>
      </c>
      <c r="C229" s="184" t="s">
        <v>73</v>
      </c>
      <c r="D229" s="184" t="s">
        <v>68</v>
      </c>
      <c r="E229" s="184" t="s">
        <v>96</v>
      </c>
      <c r="F229" s="182">
        <v>44334</v>
      </c>
      <c r="G229" s="186" t="s">
        <v>99</v>
      </c>
      <c r="H229" s="184" t="s">
        <v>243</v>
      </c>
      <c r="T229" s="184" t="s">
        <v>108</v>
      </c>
    </row>
    <row r="230" spans="1:20">
      <c r="A230" s="182">
        <v>44312</v>
      </c>
      <c r="B230" s="183">
        <v>0.46773148148148147</v>
      </c>
      <c r="C230" s="184" t="s">
        <v>73</v>
      </c>
      <c r="D230" s="184" t="s">
        <v>68</v>
      </c>
      <c r="E230" s="184" t="s">
        <v>96</v>
      </c>
      <c r="F230" s="182">
        <v>44334</v>
      </c>
      <c r="G230" s="186" t="s">
        <v>94</v>
      </c>
      <c r="H230" s="184" t="s">
        <v>529</v>
      </c>
      <c r="T230" s="184" t="s">
        <v>533</v>
      </c>
    </row>
    <row r="231" spans="1:20">
      <c r="A231" s="182">
        <v>44312</v>
      </c>
      <c r="B231" s="183">
        <v>0.54140046296296296</v>
      </c>
      <c r="C231" s="184" t="s">
        <v>73</v>
      </c>
      <c r="D231" s="184" t="s">
        <v>68</v>
      </c>
      <c r="E231" s="184" t="s">
        <v>96</v>
      </c>
      <c r="F231" s="182">
        <v>44452</v>
      </c>
      <c r="G231" s="186" t="s">
        <v>94</v>
      </c>
      <c r="H231" s="184" t="s">
        <v>87</v>
      </c>
      <c r="T231" s="184" t="s">
        <v>345</v>
      </c>
    </row>
    <row r="232" spans="1:20">
      <c r="A232" s="182">
        <v>44312</v>
      </c>
      <c r="B232" s="183">
        <v>0.54201388888888891</v>
      </c>
      <c r="C232" s="184" t="s">
        <v>73</v>
      </c>
      <c r="D232" s="184" t="s">
        <v>68</v>
      </c>
      <c r="E232" s="184" t="s">
        <v>96</v>
      </c>
      <c r="F232" s="182">
        <v>44508</v>
      </c>
      <c r="G232" s="186" t="s">
        <v>94</v>
      </c>
      <c r="H232" s="184" t="s">
        <v>213</v>
      </c>
      <c r="T232" s="184" t="s">
        <v>343</v>
      </c>
    </row>
    <row r="233" spans="1:20">
      <c r="A233" s="182">
        <v>44312</v>
      </c>
      <c r="B233" s="183">
        <v>0.54855324074074074</v>
      </c>
      <c r="C233" s="184" t="s">
        <v>67</v>
      </c>
      <c r="D233" s="184" t="s">
        <v>91</v>
      </c>
      <c r="E233" s="184" t="s">
        <v>124</v>
      </c>
      <c r="F233" s="182">
        <v>44491</v>
      </c>
      <c r="G233" s="186" t="s">
        <v>94</v>
      </c>
      <c r="H233" s="184" t="s">
        <v>227</v>
      </c>
    </row>
    <row r="234" spans="1:20">
      <c r="A234" s="182">
        <v>44312</v>
      </c>
      <c r="B234" s="183">
        <v>0.55071759259259256</v>
      </c>
      <c r="C234" s="184" t="s">
        <v>67</v>
      </c>
      <c r="D234" s="184" t="s">
        <v>68</v>
      </c>
      <c r="E234" s="184" t="s">
        <v>96</v>
      </c>
      <c r="F234" s="182">
        <v>44508</v>
      </c>
      <c r="G234" s="186" t="s">
        <v>236</v>
      </c>
      <c r="H234" s="184" t="s">
        <v>308</v>
      </c>
      <c r="T234" s="184" t="s">
        <v>147</v>
      </c>
    </row>
    <row r="235" spans="1:20">
      <c r="A235" s="182">
        <v>44312</v>
      </c>
      <c r="B235" s="183">
        <v>0.6178703703703704</v>
      </c>
      <c r="C235" s="184" t="s">
        <v>67</v>
      </c>
      <c r="D235" s="184" t="s">
        <v>78</v>
      </c>
      <c r="E235" s="184" t="s">
        <v>96</v>
      </c>
      <c r="F235" s="182">
        <v>44398</v>
      </c>
      <c r="G235" s="186" t="s">
        <v>94</v>
      </c>
      <c r="H235" s="184" t="s">
        <v>107</v>
      </c>
    </row>
    <row r="236" spans="1:20">
      <c r="A236" s="182">
        <v>44312</v>
      </c>
      <c r="B236" s="183">
        <v>0.65481481481481485</v>
      </c>
      <c r="C236" s="184" t="s">
        <v>67</v>
      </c>
      <c r="D236" s="184" t="s">
        <v>91</v>
      </c>
      <c r="E236" s="184" t="s">
        <v>204</v>
      </c>
      <c r="F236" s="182">
        <v>44357</v>
      </c>
      <c r="G236" s="186" t="s">
        <v>70</v>
      </c>
      <c r="H236" s="184" t="s">
        <v>227</v>
      </c>
    </row>
    <row r="237" spans="1:20">
      <c r="A237" s="182">
        <v>44313</v>
      </c>
      <c r="B237" s="183">
        <v>0.39453703703703707</v>
      </c>
      <c r="C237" s="184" t="s">
        <v>67</v>
      </c>
      <c r="D237" s="184" t="s">
        <v>68</v>
      </c>
      <c r="E237" s="184" t="s">
        <v>45</v>
      </c>
      <c r="F237" s="182">
        <v>44358</v>
      </c>
      <c r="G237" s="186" t="s">
        <v>94</v>
      </c>
      <c r="H237" s="184" t="s">
        <v>322</v>
      </c>
      <c r="T237" s="184" t="s">
        <v>499</v>
      </c>
    </row>
    <row r="238" spans="1:20">
      <c r="A238" s="182">
        <v>44313</v>
      </c>
      <c r="B238" s="183">
        <v>0.62350694444444443</v>
      </c>
      <c r="C238" s="184" t="s">
        <v>67</v>
      </c>
      <c r="D238" s="184" t="s">
        <v>68</v>
      </c>
      <c r="E238" s="184" t="s">
        <v>96</v>
      </c>
      <c r="F238" s="182">
        <v>44398</v>
      </c>
      <c r="G238" s="186" t="s">
        <v>94</v>
      </c>
      <c r="H238" s="184" t="s">
        <v>76</v>
      </c>
      <c r="T238" s="184" t="s">
        <v>534</v>
      </c>
    </row>
    <row r="239" spans="1:20">
      <c r="A239" s="182">
        <v>44313</v>
      </c>
      <c r="B239" s="183">
        <v>0.65615740740740736</v>
      </c>
      <c r="C239" s="184" t="s">
        <v>67</v>
      </c>
      <c r="D239" s="184" t="s">
        <v>68</v>
      </c>
      <c r="E239" s="184" t="s">
        <v>19</v>
      </c>
      <c r="F239" s="182">
        <v>44368</v>
      </c>
      <c r="G239" s="186" t="s">
        <v>94</v>
      </c>
      <c r="H239" s="184" t="s">
        <v>185</v>
      </c>
      <c r="T239" s="184" t="s">
        <v>149</v>
      </c>
    </row>
    <row r="240" spans="1:20">
      <c r="A240" s="182">
        <v>44314</v>
      </c>
      <c r="B240" s="183">
        <v>0.42748842592592595</v>
      </c>
      <c r="C240" s="184" t="s">
        <v>67</v>
      </c>
      <c r="D240" s="184" t="s">
        <v>68</v>
      </c>
      <c r="E240" s="184" t="s">
        <v>204</v>
      </c>
      <c r="F240" s="182">
        <v>44357</v>
      </c>
      <c r="G240" s="186" t="s">
        <v>70</v>
      </c>
      <c r="H240" s="184" t="s">
        <v>305</v>
      </c>
      <c r="T240" s="184" t="s">
        <v>535</v>
      </c>
    </row>
    <row r="241" spans="1:20">
      <c r="A241" s="182">
        <v>44314</v>
      </c>
      <c r="B241" s="183">
        <v>0.43473379629629627</v>
      </c>
      <c r="C241" s="184" t="s">
        <v>67</v>
      </c>
      <c r="D241" s="184" t="s">
        <v>78</v>
      </c>
      <c r="E241" s="184" t="s">
        <v>45</v>
      </c>
      <c r="F241" s="182">
        <v>44450</v>
      </c>
      <c r="G241" s="186" t="s">
        <v>75</v>
      </c>
      <c r="H241" s="184" t="s">
        <v>107</v>
      </c>
    </row>
    <row r="242" spans="1:20">
      <c r="A242" s="182">
        <v>44314</v>
      </c>
      <c r="B242" s="183">
        <v>0.4748263888888889</v>
      </c>
      <c r="C242" s="184" t="s">
        <v>67</v>
      </c>
      <c r="D242" s="184" t="s">
        <v>68</v>
      </c>
      <c r="E242" s="184" t="s">
        <v>96</v>
      </c>
      <c r="F242" s="182">
        <v>44398</v>
      </c>
      <c r="G242" s="186" t="s">
        <v>99</v>
      </c>
      <c r="H242" s="184" t="s">
        <v>71</v>
      </c>
      <c r="T242" s="184" t="s">
        <v>534</v>
      </c>
    </row>
    <row r="243" spans="1:20">
      <c r="A243" s="182">
        <v>44314</v>
      </c>
      <c r="B243" s="183">
        <v>0.5566550925925926</v>
      </c>
      <c r="C243" s="184" t="s">
        <v>67</v>
      </c>
      <c r="D243" s="184" t="s">
        <v>78</v>
      </c>
      <c r="E243" s="184" t="s">
        <v>19</v>
      </c>
      <c r="F243" s="182">
        <v>44460</v>
      </c>
      <c r="G243" s="186" t="s">
        <v>94</v>
      </c>
      <c r="H243" s="184" t="s">
        <v>107</v>
      </c>
    </row>
    <row r="244" spans="1:20">
      <c r="A244" s="182">
        <v>44314</v>
      </c>
      <c r="C244" s="184" t="s">
        <v>594</v>
      </c>
      <c r="D244" s="184" t="s">
        <v>595</v>
      </c>
      <c r="E244" s="184" t="s">
        <v>596</v>
      </c>
      <c r="F244" s="182">
        <v>44491</v>
      </c>
      <c r="G244" s="186" t="s">
        <v>597</v>
      </c>
      <c r="H244" s="184" t="s">
        <v>598</v>
      </c>
      <c r="T244" s="184" t="s">
        <v>147</v>
      </c>
    </row>
    <row r="245" spans="1:20">
      <c r="A245" s="182">
        <v>44314</v>
      </c>
      <c r="B245" s="183">
        <v>0.58715277777777775</v>
      </c>
      <c r="C245" s="184" t="s">
        <v>73</v>
      </c>
      <c r="D245" s="184" t="s">
        <v>68</v>
      </c>
      <c r="E245" s="184" t="s">
        <v>124</v>
      </c>
      <c r="F245" s="182">
        <v>44491</v>
      </c>
      <c r="G245" s="186" t="s">
        <v>94</v>
      </c>
      <c r="H245" s="184" t="s">
        <v>536</v>
      </c>
      <c r="T245" s="184" t="s">
        <v>537</v>
      </c>
    </row>
    <row r="246" spans="1:20">
      <c r="A246" s="182">
        <v>44316</v>
      </c>
      <c r="B246" s="183">
        <v>0.41371527777777778</v>
      </c>
      <c r="C246" s="184" t="s">
        <v>67</v>
      </c>
      <c r="D246" s="184" t="s">
        <v>68</v>
      </c>
      <c r="E246" s="184" t="s">
        <v>19</v>
      </c>
      <c r="F246" s="182">
        <v>44368</v>
      </c>
      <c r="G246" s="186" t="s">
        <v>99</v>
      </c>
      <c r="H246" s="184" t="s">
        <v>322</v>
      </c>
      <c r="T246" s="184" t="s">
        <v>149</v>
      </c>
    </row>
    <row r="247" spans="1:20">
      <c r="A247" s="182">
        <v>44322</v>
      </c>
      <c r="B247" s="183">
        <v>0.38540509259259265</v>
      </c>
      <c r="C247" s="184" t="s">
        <v>67</v>
      </c>
      <c r="D247" s="184" t="s">
        <v>68</v>
      </c>
      <c r="E247" s="184" t="s">
        <v>85</v>
      </c>
      <c r="F247" s="182">
        <v>44337</v>
      </c>
      <c r="G247" s="186" t="s">
        <v>94</v>
      </c>
      <c r="H247" s="184" t="s">
        <v>259</v>
      </c>
      <c r="T247" s="184" t="s">
        <v>538</v>
      </c>
    </row>
    <row r="248" spans="1:20">
      <c r="A248" s="182">
        <v>44322</v>
      </c>
      <c r="B248" s="183">
        <v>0.44770833333333332</v>
      </c>
      <c r="C248" s="184" t="s">
        <v>67</v>
      </c>
      <c r="D248" s="184" t="s">
        <v>68</v>
      </c>
      <c r="F248" s="182">
        <v>44352</v>
      </c>
      <c r="G248" s="186" t="s">
        <v>353</v>
      </c>
      <c r="H248" s="184" t="s">
        <v>425</v>
      </c>
      <c r="T248" s="184" t="s">
        <v>539</v>
      </c>
    </row>
    <row r="249" spans="1:20">
      <c r="A249" s="182">
        <v>44322</v>
      </c>
      <c r="B249" s="183">
        <v>0.59695601851851854</v>
      </c>
      <c r="C249" s="184" t="s">
        <v>67</v>
      </c>
      <c r="D249" s="184" t="s">
        <v>68</v>
      </c>
      <c r="F249" s="182">
        <v>44352</v>
      </c>
      <c r="G249" s="186" t="s">
        <v>112</v>
      </c>
      <c r="H249" s="184" t="s">
        <v>205</v>
      </c>
      <c r="T249" s="184" t="s">
        <v>540</v>
      </c>
    </row>
    <row r="250" spans="1:20">
      <c r="A250" s="182">
        <v>44322</v>
      </c>
      <c r="B250" s="183">
        <v>0.63662037037037034</v>
      </c>
      <c r="C250" s="184" t="s">
        <v>73</v>
      </c>
      <c r="D250" s="184" t="s">
        <v>68</v>
      </c>
      <c r="E250" s="184" t="s">
        <v>19</v>
      </c>
      <c r="F250" s="182">
        <v>44368</v>
      </c>
      <c r="G250" s="186" t="s">
        <v>114</v>
      </c>
      <c r="H250" s="184" t="s">
        <v>308</v>
      </c>
      <c r="T250" s="184" t="s">
        <v>541</v>
      </c>
    </row>
    <row r="251" spans="1:20">
      <c r="A251" s="182">
        <v>44322</v>
      </c>
      <c r="B251" s="183">
        <v>0.68141203703703701</v>
      </c>
      <c r="C251" s="184" t="s">
        <v>73</v>
      </c>
      <c r="D251" s="184" t="s">
        <v>68</v>
      </c>
      <c r="E251" s="184" t="s">
        <v>19</v>
      </c>
      <c r="F251" s="182">
        <v>44368</v>
      </c>
      <c r="G251" s="186" t="s">
        <v>70</v>
      </c>
      <c r="H251" s="184" t="s">
        <v>190</v>
      </c>
      <c r="T251" s="184" t="s">
        <v>257</v>
      </c>
    </row>
    <row r="252" spans="1:20">
      <c r="A252" s="182">
        <v>44322</v>
      </c>
      <c r="B252" s="183">
        <v>0.68214120370370368</v>
      </c>
      <c r="C252" s="184" t="s">
        <v>73</v>
      </c>
      <c r="D252" s="184" t="s">
        <v>68</v>
      </c>
      <c r="E252" s="184" t="s">
        <v>19</v>
      </c>
      <c r="F252" s="182">
        <v>44460</v>
      </c>
      <c r="G252" s="186" t="s">
        <v>75</v>
      </c>
      <c r="H252" s="184" t="s">
        <v>76</v>
      </c>
      <c r="T252" s="184" t="s">
        <v>257</v>
      </c>
    </row>
    <row r="253" spans="1:20">
      <c r="A253" s="182">
        <v>44322</v>
      </c>
      <c r="B253" s="183">
        <v>0.68519675925925927</v>
      </c>
      <c r="C253" s="184" t="s">
        <v>73</v>
      </c>
      <c r="D253" s="184" t="s">
        <v>68</v>
      </c>
      <c r="E253" s="184" t="s">
        <v>204</v>
      </c>
      <c r="F253" s="182">
        <v>44357</v>
      </c>
      <c r="G253" s="186" t="s">
        <v>114</v>
      </c>
      <c r="H253" s="184" t="s">
        <v>185</v>
      </c>
      <c r="T253" s="184" t="s">
        <v>333</v>
      </c>
    </row>
    <row r="254" spans="1:20">
      <c r="A254" s="182">
        <v>44322</v>
      </c>
      <c r="B254" s="183">
        <v>0.68718749999999995</v>
      </c>
      <c r="C254" s="184" t="s">
        <v>73</v>
      </c>
      <c r="D254" s="184" t="s">
        <v>68</v>
      </c>
      <c r="E254" s="184" t="s">
        <v>204</v>
      </c>
      <c r="F254" s="182">
        <v>44357</v>
      </c>
      <c r="G254" s="186" t="s">
        <v>99</v>
      </c>
      <c r="H254" s="184" t="s">
        <v>322</v>
      </c>
      <c r="T254" s="184" t="s">
        <v>490</v>
      </c>
    </row>
    <row r="255" spans="1:20">
      <c r="A255" s="182">
        <v>44323</v>
      </c>
      <c r="B255" s="183">
        <v>0.4541203703703704</v>
      </c>
      <c r="C255" s="184" t="s">
        <v>67</v>
      </c>
      <c r="D255" s="184" t="s">
        <v>78</v>
      </c>
      <c r="E255" s="184" t="s">
        <v>19</v>
      </c>
      <c r="F255" s="182">
        <v>44504</v>
      </c>
      <c r="G255" s="186" t="s">
        <v>94</v>
      </c>
      <c r="H255" s="184" t="s">
        <v>107</v>
      </c>
    </row>
    <row r="256" spans="1:20">
      <c r="A256" s="182">
        <v>44323</v>
      </c>
      <c r="B256" s="183">
        <v>0.62336805555555552</v>
      </c>
      <c r="C256" s="184" t="s">
        <v>67</v>
      </c>
      <c r="D256" s="184" t="s">
        <v>68</v>
      </c>
      <c r="E256" s="184" t="s">
        <v>45</v>
      </c>
      <c r="F256" s="182">
        <v>44358</v>
      </c>
      <c r="G256" s="186" t="s">
        <v>94</v>
      </c>
      <c r="H256" s="184" t="s">
        <v>185</v>
      </c>
      <c r="T256" s="184" t="s">
        <v>542</v>
      </c>
    </row>
    <row r="257" spans="1:20">
      <c r="A257" s="182">
        <v>44326</v>
      </c>
      <c r="B257" s="183">
        <v>0.45011574074074073</v>
      </c>
      <c r="C257" s="184" t="s">
        <v>67</v>
      </c>
      <c r="D257" s="184" t="s">
        <v>78</v>
      </c>
      <c r="E257" s="184" t="s">
        <v>96</v>
      </c>
      <c r="F257" s="182">
        <v>44398</v>
      </c>
      <c r="G257" s="186" t="s">
        <v>94</v>
      </c>
      <c r="H257" s="184" t="s">
        <v>106</v>
      </c>
    </row>
    <row r="258" spans="1:20">
      <c r="A258" s="182">
        <v>44326</v>
      </c>
      <c r="B258" s="183">
        <v>0.50005787037037031</v>
      </c>
      <c r="C258" s="184" t="s">
        <v>67</v>
      </c>
      <c r="D258" s="184" t="s">
        <v>68</v>
      </c>
      <c r="F258" s="182">
        <v>44352</v>
      </c>
      <c r="G258" s="186" t="s">
        <v>263</v>
      </c>
      <c r="H258" s="184" t="s">
        <v>247</v>
      </c>
    </row>
    <row r="259" spans="1:20">
      <c r="A259" s="182">
        <v>44326</v>
      </c>
      <c r="B259" s="183">
        <v>0.50119212962962967</v>
      </c>
      <c r="C259" s="184" t="s">
        <v>67</v>
      </c>
      <c r="D259" s="184" t="s">
        <v>68</v>
      </c>
      <c r="F259" s="182">
        <v>44352</v>
      </c>
      <c r="G259" s="186" t="s">
        <v>263</v>
      </c>
      <c r="H259" s="184" t="s">
        <v>247</v>
      </c>
      <c r="T259" s="184" t="s">
        <v>539</v>
      </c>
    </row>
    <row r="260" spans="1:20">
      <c r="A260" s="182">
        <v>44326</v>
      </c>
      <c r="B260" s="183">
        <v>0.59717592592592594</v>
      </c>
      <c r="C260" s="184" t="s">
        <v>67</v>
      </c>
      <c r="D260" s="184" t="s">
        <v>91</v>
      </c>
      <c r="E260" s="184" t="s">
        <v>45</v>
      </c>
      <c r="F260" s="182">
        <v>44358</v>
      </c>
      <c r="G260" s="186" t="s">
        <v>114</v>
      </c>
      <c r="H260" s="184" t="s">
        <v>193</v>
      </c>
    </row>
    <row r="261" spans="1:20">
      <c r="A261" s="182">
        <v>44326</v>
      </c>
      <c r="B261" s="183">
        <v>0.67756944444444445</v>
      </c>
      <c r="C261" s="184" t="s">
        <v>73</v>
      </c>
      <c r="D261" s="184" t="s">
        <v>68</v>
      </c>
      <c r="E261" s="184" t="s">
        <v>96</v>
      </c>
      <c r="F261" s="182">
        <v>44398</v>
      </c>
      <c r="G261" s="186" t="s">
        <v>94</v>
      </c>
      <c r="H261" s="184" t="s">
        <v>76</v>
      </c>
      <c r="T261" s="184" t="s">
        <v>543</v>
      </c>
    </row>
    <row r="262" spans="1:20">
      <c r="A262" s="182">
        <v>44327</v>
      </c>
      <c r="B262" s="183">
        <v>0.39912037037037035</v>
      </c>
      <c r="C262" s="184" t="s">
        <v>67</v>
      </c>
      <c r="D262" s="184" t="s">
        <v>78</v>
      </c>
      <c r="E262" s="184" t="s">
        <v>45</v>
      </c>
      <c r="F262" s="182">
        <v>44358</v>
      </c>
      <c r="G262" s="186" t="s">
        <v>114</v>
      </c>
      <c r="H262" s="184" t="s">
        <v>265</v>
      </c>
    </row>
    <row r="263" spans="1:20">
      <c r="A263" s="182">
        <v>44327</v>
      </c>
      <c r="B263" s="183">
        <v>0.53983796296296294</v>
      </c>
      <c r="C263" s="184" t="s">
        <v>67</v>
      </c>
      <c r="D263" s="184" t="s">
        <v>78</v>
      </c>
      <c r="E263" s="184" t="s">
        <v>45</v>
      </c>
      <c r="F263" s="182">
        <v>44358</v>
      </c>
      <c r="G263" s="186" t="s">
        <v>83</v>
      </c>
      <c r="H263" s="184" t="s">
        <v>82</v>
      </c>
    </row>
    <row r="264" spans="1:20">
      <c r="A264" s="182">
        <v>44327</v>
      </c>
      <c r="B264" s="183">
        <v>0.54001157407407407</v>
      </c>
      <c r="C264" s="184" t="s">
        <v>67</v>
      </c>
      <c r="D264" s="184" t="s">
        <v>78</v>
      </c>
      <c r="E264" s="184" t="s">
        <v>19</v>
      </c>
      <c r="F264" s="182">
        <v>44460</v>
      </c>
      <c r="G264" s="186" t="s">
        <v>83</v>
      </c>
      <c r="H264" s="184" t="s">
        <v>288</v>
      </c>
    </row>
    <row r="265" spans="1:20">
      <c r="A265" s="182">
        <v>44327</v>
      </c>
      <c r="B265" s="183">
        <v>0.66423611111111114</v>
      </c>
      <c r="C265" s="184" t="s">
        <v>67</v>
      </c>
      <c r="D265" s="184" t="s">
        <v>68</v>
      </c>
      <c r="E265" s="184" t="s">
        <v>85</v>
      </c>
      <c r="F265" s="182">
        <v>44337</v>
      </c>
      <c r="G265" s="186" t="s">
        <v>94</v>
      </c>
      <c r="H265" s="184" t="s">
        <v>273</v>
      </c>
      <c r="T265" s="184" t="s">
        <v>544</v>
      </c>
    </row>
    <row r="266" spans="1:20">
      <c r="A266" s="182">
        <v>44327</v>
      </c>
      <c r="B266" s="183">
        <v>0.68988425925925922</v>
      </c>
      <c r="C266" s="184" t="s">
        <v>67</v>
      </c>
      <c r="D266" s="184" t="s">
        <v>91</v>
      </c>
      <c r="E266" s="184" t="s">
        <v>69</v>
      </c>
      <c r="F266" s="182">
        <v>44456</v>
      </c>
      <c r="G266" s="186" t="s">
        <v>70</v>
      </c>
      <c r="H266" s="184" t="s">
        <v>93</v>
      </c>
    </row>
    <row r="267" spans="1:20">
      <c r="A267" s="182">
        <v>44328</v>
      </c>
      <c r="B267" s="183">
        <v>0.4828587962962963</v>
      </c>
      <c r="C267" s="184" t="s">
        <v>67</v>
      </c>
      <c r="D267" s="184" t="s">
        <v>91</v>
      </c>
      <c r="E267" s="184" t="s">
        <v>96</v>
      </c>
      <c r="F267" s="182">
        <v>44452</v>
      </c>
      <c r="G267" s="186" t="s">
        <v>114</v>
      </c>
      <c r="H267" s="184" t="s">
        <v>227</v>
      </c>
    </row>
    <row r="268" spans="1:20">
      <c r="A268" s="182">
        <v>44329</v>
      </c>
      <c r="B268" s="183">
        <v>0.49869212962962961</v>
      </c>
      <c r="C268" s="184" t="s">
        <v>67</v>
      </c>
      <c r="D268" s="184" t="s">
        <v>68</v>
      </c>
      <c r="E268" s="184" t="s">
        <v>45</v>
      </c>
      <c r="F268" s="182">
        <v>44358</v>
      </c>
      <c r="G268" s="186" t="s">
        <v>94</v>
      </c>
      <c r="H268" s="184" t="s">
        <v>308</v>
      </c>
      <c r="T268" s="184" t="s">
        <v>545</v>
      </c>
    </row>
    <row r="269" spans="1:20">
      <c r="A269" s="182">
        <v>44330</v>
      </c>
      <c r="B269" s="183">
        <v>0.5540046296296296</v>
      </c>
      <c r="C269" s="184" t="s">
        <v>67</v>
      </c>
      <c r="D269" s="184" t="s">
        <v>68</v>
      </c>
      <c r="E269" s="184" t="s">
        <v>204</v>
      </c>
      <c r="F269" s="182">
        <v>44357</v>
      </c>
      <c r="G269" s="186" t="s">
        <v>99</v>
      </c>
      <c r="H269" s="184" t="s">
        <v>305</v>
      </c>
      <c r="T269" s="184" t="s">
        <v>546</v>
      </c>
    </row>
    <row r="270" spans="1:20">
      <c r="A270" s="182">
        <v>44333</v>
      </c>
      <c r="B270" s="183">
        <v>0.40653935185185186</v>
      </c>
      <c r="C270" s="184" t="s">
        <v>67</v>
      </c>
      <c r="D270" s="184" t="s">
        <v>68</v>
      </c>
      <c r="E270" s="184" t="s">
        <v>96</v>
      </c>
      <c r="F270" s="182">
        <v>44334</v>
      </c>
      <c r="G270" s="186" t="s">
        <v>99</v>
      </c>
      <c r="H270" s="184" t="s">
        <v>243</v>
      </c>
      <c r="T270" s="184" t="s">
        <v>547</v>
      </c>
    </row>
    <row r="271" spans="1:20">
      <c r="A271" s="182">
        <v>44333</v>
      </c>
      <c r="B271" s="183">
        <v>0.40685185185185185</v>
      </c>
      <c r="C271" s="184" t="s">
        <v>67</v>
      </c>
      <c r="D271" s="184" t="s">
        <v>68</v>
      </c>
      <c r="E271" s="184" t="s">
        <v>96</v>
      </c>
      <c r="F271" s="182">
        <v>44452</v>
      </c>
      <c r="G271" s="186" t="s">
        <v>94</v>
      </c>
      <c r="H271" s="184" t="s">
        <v>101</v>
      </c>
      <c r="T271" s="184" t="s">
        <v>548</v>
      </c>
    </row>
    <row r="272" spans="1:20">
      <c r="A272" s="182">
        <v>44333</v>
      </c>
      <c r="B272" s="183">
        <v>0.41362268518518519</v>
      </c>
      <c r="C272" s="184" t="s">
        <v>67</v>
      </c>
      <c r="D272" s="184" t="s">
        <v>68</v>
      </c>
      <c r="E272" s="184" t="s">
        <v>96</v>
      </c>
      <c r="F272" s="182">
        <v>44334</v>
      </c>
      <c r="G272" s="186" t="s">
        <v>99</v>
      </c>
      <c r="H272" s="184" t="s">
        <v>237</v>
      </c>
      <c r="T272" s="184" t="s">
        <v>549</v>
      </c>
    </row>
    <row r="273" spans="1:20">
      <c r="A273" s="182">
        <v>44333</v>
      </c>
      <c r="B273" s="183">
        <v>0.41409722222222217</v>
      </c>
      <c r="C273" s="184" t="s">
        <v>67</v>
      </c>
      <c r="D273" s="184" t="s">
        <v>68</v>
      </c>
      <c r="E273" s="184" t="s">
        <v>96</v>
      </c>
      <c r="F273" s="182">
        <v>44452</v>
      </c>
      <c r="G273" s="186" t="s">
        <v>94</v>
      </c>
      <c r="H273" s="184" t="s">
        <v>103</v>
      </c>
      <c r="T273" s="184" t="s">
        <v>549</v>
      </c>
    </row>
    <row r="274" spans="1:20">
      <c r="A274" s="182">
        <v>44334</v>
      </c>
      <c r="B274" s="183">
        <v>0.43974537037037037</v>
      </c>
      <c r="C274" s="184" t="s">
        <v>67</v>
      </c>
      <c r="D274" s="184" t="s">
        <v>68</v>
      </c>
      <c r="E274" s="184" t="s">
        <v>85</v>
      </c>
      <c r="F274" s="182">
        <v>44396</v>
      </c>
      <c r="G274" s="186" t="s">
        <v>94</v>
      </c>
      <c r="H274" s="184" t="s">
        <v>76</v>
      </c>
      <c r="T274" s="184" t="s">
        <v>550</v>
      </c>
    </row>
    <row r="275" spans="1:20">
      <c r="A275" s="182">
        <v>44335</v>
      </c>
      <c r="B275" s="183">
        <v>0.37559027777777776</v>
      </c>
      <c r="C275" s="184" t="s">
        <v>67</v>
      </c>
      <c r="D275" s="184" t="s">
        <v>91</v>
      </c>
      <c r="E275" s="184" t="s">
        <v>96</v>
      </c>
      <c r="F275" s="182">
        <v>44398</v>
      </c>
      <c r="G275" s="186" t="s">
        <v>114</v>
      </c>
      <c r="H275" s="184" t="s">
        <v>227</v>
      </c>
    </row>
    <row r="276" spans="1:20">
      <c r="A276" s="182">
        <v>44335</v>
      </c>
      <c r="B276" s="183">
        <v>0.37572916666666667</v>
      </c>
      <c r="C276" s="184" t="s">
        <v>67</v>
      </c>
      <c r="D276" s="184" t="s">
        <v>91</v>
      </c>
      <c r="E276" s="184" t="s">
        <v>96</v>
      </c>
      <c r="F276" s="182">
        <v>44452</v>
      </c>
      <c r="G276" s="186" t="s">
        <v>114</v>
      </c>
      <c r="H276" s="184" t="s">
        <v>120</v>
      </c>
    </row>
    <row r="277" spans="1:20">
      <c r="A277" s="182">
        <v>44335</v>
      </c>
      <c r="B277" s="183">
        <v>0.47228009259259257</v>
      </c>
      <c r="C277" s="184" t="s">
        <v>67</v>
      </c>
      <c r="D277" s="184" t="s">
        <v>68</v>
      </c>
      <c r="E277" s="184" t="s">
        <v>69</v>
      </c>
      <c r="F277" s="182">
        <v>44331</v>
      </c>
      <c r="G277" s="186" t="s">
        <v>99</v>
      </c>
      <c r="H277" s="184" t="s">
        <v>259</v>
      </c>
      <c r="T277" s="184" t="s">
        <v>551</v>
      </c>
    </row>
    <row r="278" spans="1:20">
      <c r="A278" s="182">
        <v>44335</v>
      </c>
      <c r="B278" s="183">
        <v>0.47282407407407406</v>
      </c>
      <c r="C278" s="184" t="s">
        <v>67</v>
      </c>
      <c r="D278" s="184" t="s">
        <v>68</v>
      </c>
      <c r="F278" s="182">
        <v>44352</v>
      </c>
      <c r="G278" s="186" t="s">
        <v>94</v>
      </c>
      <c r="H278" s="184" t="s">
        <v>237</v>
      </c>
      <c r="T278" s="184" t="s">
        <v>552</v>
      </c>
    </row>
    <row r="279" spans="1:20">
      <c r="A279" s="182">
        <v>44335</v>
      </c>
      <c r="B279" s="183">
        <v>0.49482638888888886</v>
      </c>
      <c r="C279" s="184" t="s">
        <v>67</v>
      </c>
      <c r="D279" s="184" t="s">
        <v>91</v>
      </c>
      <c r="E279" s="184" t="s">
        <v>96</v>
      </c>
      <c r="F279" s="182">
        <v>44398</v>
      </c>
      <c r="G279" s="186" t="s">
        <v>94</v>
      </c>
      <c r="H279" s="184" t="s">
        <v>285</v>
      </c>
    </row>
    <row r="280" spans="1:20">
      <c r="A280" s="182">
        <v>44336</v>
      </c>
      <c r="B280" s="183">
        <v>0.45546296296296296</v>
      </c>
      <c r="C280" s="184" t="s">
        <v>67</v>
      </c>
      <c r="D280" s="184" t="s">
        <v>78</v>
      </c>
      <c r="E280" s="184" t="s">
        <v>95</v>
      </c>
      <c r="F280" s="182">
        <v>44476</v>
      </c>
      <c r="G280" s="186" t="s">
        <v>70</v>
      </c>
      <c r="H280" s="184" t="s">
        <v>86</v>
      </c>
    </row>
    <row r="281" spans="1:20">
      <c r="A281" s="182">
        <v>44336</v>
      </c>
      <c r="B281" s="183">
        <v>0.50222222222222224</v>
      </c>
      <c r="C281" s="184" t="s">
        <v>67</v>
      </c>
      <c r="D281" s="184" t="s">
        <v>68</v>
      </c>
      <c r="E281" s="184" t="s">
        <v>45</v>
      </c>
      <c r="F281" s="182">
        <v>44358</v>
      </c>
      <c r="G281" s="186" t="s">
        <v>94</v>
      </c>
      <c r="H281" s="184" t="s">
        <v>190</v>
      </c>
      <c r="T281" s="184" t="s">
        <v>234</v>
      </c>
    </row>
    <row r="282" spans="1:20">
      <c r="A282" s="182">
        <v>44336</v>
      </c>
      <c r="B282" s="183">
        <v>0.54402777777777778</v>
      </c>
      <c r="C282" s="184" t="s">
        <v>67</v>
      </c>
      <c r="D282" s="184" t="s">
        <v>68</v>
      </c>
      <c r="E282" s="184" t="s">
        <v>89</v>
      </c>
      <c r="F282" s="182">
        <v>44351</v>
      </c>
      <c r="G282" s="186" t="s">
        <v>94</v>
      </c>
      <c r="H282" s="184" t="s">
        <v>182</v>
      </c>
      <c r="T282" s="184" t="s">
        <v>284</v>
      </c>
    </row>
    <row r="283" spans="1:20">
      <c r="A283" s="182">
        <v>44336</v>
      </c>
      <c r="B283" s="183">
        <v>0.64025462962962965</v>
      </c>
      <c r="C283" s="184" t="s">
        <v>67</v>
      </c>
      <c r="D283" s="184" t="s">
        <v>91</v>
      </c>
      <c r="E283" s="184" t="s">
        <v>96</v>
      </c>
      <c r="F283" s="182">
        <v>44398</v>
      </c>
      <c r="G283" s="186" t="s">
        <v>94</v>
      </c>
      <c r="H283" s="184" t="s">
        <v>120</v>
      </c>
    </row>
    <row r="284" spans="1:20">
      <c r="A284" s="182">
        <v>44336</v>
      </c>
      <c r="B284" s="183">
        <v>0.65541666666666665</v>
      </c>
      <c r="C284" s="184" t="s">
        <v>67</v>
      </c>
      <c r="D284" s="184" t="s">
        <v>68</v>
      </c>
      <c r="E284" s="184" t="s">
        <v>45</v>
      </c>
      <c r="F284" s="182">
        <v>44358</v>
      </c>
      <c r="G284" s="186" t="s">
        <v>99</v>
      </c>
      <c r="H284" s="184" t="s">
        <v>308</v>
      </c>
      <c r="T284" s="184" t="s">
        <v>234</v>
      </c>
    </row>
    <row r="285" spans="1:20">
      <c r="A285" s="182">
        <v>44337</v>
      </c>
      <c r="B285" s="183">
        <v>0.53017361111111116</v>
      </c>
      <c r="C285" s="184" t="s">
        <v>73</v>
      </c>
      <c r="D285" s="184" t="s">
        <v>78</v>
      </c>
      <c r="E285" s="184" t="s">
        <v>19</v>
      </c>
      <c r="F285" s="182">
        <v>44460</v>
      </c>
      <c r="G285" s="186" t="s">
        <v>114</v>
      </c>
      <c r="H285" s="184" t="s">
        <v>327</v>
      </c>
    </row>
    <row r="286" spans="1:20">
      <c r="A286" s="182">
        <v>44337</v>
      </c>
      <c r="B286" s="183">
        <v>0.53040509259259261</v>
      </c>
      <c r="C286" s="184" t="s">
        <v>73</v>
      </c>
      <c r="D286" s="184" t="s">
        <v>78</v>
      </c>
      <c r="E286" s="184" t="s">
        <v>45</v>
      </c>
      <c r="F286" s="182">
        <v>44450</v>
      </c>
      <c r="G286" s="186" t="s">
        <v>94</v>
      </c>
      <c r="H286" s="184" t="s">
        <v>106</v>
      </c>
    </row>
    <row r="287" spans="1:20">
      <c r="A287" s="182">
        <v>44337</v>
      </c>
      <c r="B287" s="183">
        <v>0.54844907407407406</v>
      </c>
      <c r="C287" s="184" t="s">
        <v>73</v>
      </c>
      <c r="D287" s="184" t="s">
        <v>68</v>
      </c>
      <c r="E287" s="184" t="s">
        <v>95</v>
      </c>
      <c r="F287" s="182">
        <v>44384</v>
      </c>
      <c r="G287" s="186" t="s">
        <v>94</v>
      </c>
      <c r="H287" s="184" t="s">
        <v>260</v>
      </c>
      <c r="T287" s="184" t="s">
        <v>234</v>
      </c>
    </row>
    <row r="288" spans="1:20">
      <c r="A288" s="182">
        <v>44340</v>
      </c>
      <c r="B288" s="183">
        <v>0.68311342592592583</v>
      </c>
      <c r="C288" s="184" t="s">
        <v>67</v>
      </c>
      <c r="D288" s="184" t="s">
        <v>78</v>
      </c>
      <c r="E288" s="184" t="s">
        <v>45</v>
      </c>
      <c r="F288" s="182">
        <v>44450</v>
      </c>
      <c r="G288" s="186" t="s">
        <v>94</v>
      </c>
      <c r="H288" s="184" t="s">
        <v>113</v>
      </c>
    </row>
    <row r="289" spans="1:20">
      <c r="A289" s="182">
        <v>44340</v>
      </c>
      <c r="B289" s="183">
        <v>0.68349537037037045</v>
      </c>
      <c r="C289" s="184" t="s">
        <v>67</v>
      </c>
      <c r="D289" s="184" t="s">
        <v>91</v>
      </c>
      <c r="E289" s="184" t="s">
        <v>19</v>
      </c>
      <c r="F289" s="182">
        <v>44368</v>
      </c>
      <c r="G289" s="186" t="s">
        <v>99</v>
      </c>
      <c r="H289" s="184" t="s">
        <v>295</v>
      </c>
    </row>
    <row r="290" spans="1:20">
      <c r="A290" s="182">
        <v>44341</v>
      </c>
      <c r="B290" s="183">
        <v>0.40844907407407405</v>
      </c>
      <c r="C290" s="184" t="s">
        <v>73</v>
      </c>
      <c r="D290" s="184" t="s">
        <v>68</v>
      </c>
      <c r="E290" s="184" t="s">
        <v>19</v>
      </c>
      <c r="F290" s="182">
        <v>44368</v>
      </c>
      <c r="G290" s="186" t="s">
        <v>94</v>
      </c>
      <c r="H290" s="184" t="s">
        <v>206</v>
      </c>
      <c r="T290" s="184" t="s">
        <v>257</v>
      </c>
    </row>
    <row r="291" spans="1:20">
      <c r="A291" s="182">
        <v>44341</v>
      </c>
      <c r="B291" s="183">
        <v>0.4175578703703704</v>
      </c>
      <c r="C291" s="184" t="s">
        <v>73</v>
      </c>
      <c r="D291" s="184" t="s">
        <v>68</v>
      </c>
      <c r="E291" s="184" t="s">
        <v>19</v>
      </c>
      <c r="F291" s="182">
        <v>44460</v>
      </c>
      <c r="G291" s="186" t="s">
        <v>99</v>
      </c>
      <c r="H291" s="184" t="s">
        <v>71</v>
      </c>
      <c r="T291" s="184" t="s">
        <v>257</v>
      </c>
    </row>
    <row r="292" spans="1:20">
      <c r="A292" s="182">
        <v>44341</v>
      </c>
      <c r="B292" s="183">
        <v>0.55932870370370369</v>
      </c>
      <c r="C292" s="184" t="s">
        <v>73</v>
      </c>
      <c r="D292" s="184" t="s">
        <v>78</v>
      </c>
      <c r="E292" s="184" t="s">
        <v>19</v>
      </c>
      <c r="F292" s="182">
        <v>44460</v>
      </c>
      <c r="G292" s="186" t="s">
        <v>94</v>
      </c>
      <c r="H292" s="184" t="s">
        <v>82</v>
      </c>
    </row>
    <row r="293" spans="1:20">
      <c r="A293" s="182">
        <v>44341</v>
      </c>
      <c r="B293" s="183">
        <v>0.65423611111111113</v>
      </c>
      <c r="C293" s="184" t="s">
        <v>73</v>
      </c>
      <c r="D293" s="184" t="s">
        <v>91</v>
      </c>
      <c r="E293" s="184" t="s">
        <v>85</v>
      </c>
      <c r="F293" s="182">
        <v>44396</v>
      </c>
      <c r="G293" s="186" t="s">
        <v>94</v>
      </c>
      <c r="H293" s="184" t="s">
        <v>120</v>
      </c>
    </row>
    <row r="294" spans="1:20">
      <c r="A294" s="182">
        <v>44341</v>
      </c>
      <c r="B294" s="183">
        <v>0.70307870370370373</v>
      </c>
      <c r="C294" s="184" t="s">
        <v>73</v>
      </c>
      <c r="D294" s="184" t="s">
        <v>91</v>
      </c>
      <c r="E294" s="184" t="s">
        <v>19</v>
      </c>
      <c r="F294" s="182">
        <v>44573</v>
      </c>
      <c r="G294" s="186" t="s">
        <v>553</v>
      </c>
      <c r="H294" s="184" t="s">
        <v>285</v>
      </c>
    </row>
    <row r="295" spans="1:20">
      <c r="A295" s="182">
        <v>44342</v>
      </c>
      <c r="B295" s="183">
        <v>0.40452546296296293</v>
      </c>
      <c r="C295" s="184" t="s">
        <v>67</v>
      </c>
      <c r="D295" s="184" t="s">
        <v>91</v>
      </c>
      <c r="E295" s="184" t="s">
        <v>96</v>
      </c>
      <c r="F295" s="182">
        <v>44398</v>
      </c>
      <c r="G295" s="186" t="s">
        <v>94</v>
      </c>
      <c r="H295" s="184" t="s">
        <v>229</v>
      </c>
    </row>
    <row r="296" spans="1:20">
      <c r="A296" s="182">
        <v>44342</v>
      </c>
      <c r="B296" s="183">
        <v>0.57576388888888885</v>
      </c>
      <c r="C296" s="184" t="s">
        <v>73</v>
      </c>
      <c r="D296" s="184" t="s">
        <v>91</v>
      </c>
      <c r="E296" s="184" t="s">
        <v>96</v>
      </c>
      <c r="F296" s="182">
        <v>44398</v>
      </c>
      <c r="G296" s="186" t="s">
        <v>112</v>
      </c>
      <c r="H296" s="184" t="s">
        <v>193</v>
      </c>
    </row>
    <row r="297" spans="1:20">
      <c r="A297" s="182">
        <v>44343</v>
      </c>
      <c r="B297" s="183">
        <v>0.54866898148148147</v>
      </c>
      <c r="C297" s="184" t="s">
        <v>67</v>
      </c>
      <c r="D297" s="184" t="s">
        <v>78</v>
      </c>
      <c r="E297" s="184" t="s">
        <v>96</v>
      </c>
      <c r="F297" s="182">
        <v>44398</v>
      </c>
      <c r="G297" s="186" t="s">
        <v>94</v>
      </c>
      <c r="H297" s="184" t="s">
        <v>113</v>
      </c>
    </row>
    <row r="298" spans="1:20">
      <c r="A298" s="182">
        <v>44343</v>
      </c>
      <c r="B298" s="183">
        <v>0.62284722222222222</v>
      </c>
      <c r="C298" s="184" t="s">
        <v>73</v>
      </c>
      <c r="D298" s="184" t="s">
        <v>68</v>
      </c>
      <c r="E298" s="184" t="s">
        <v>85</v>
      </c>
      <c r="F298" s="182">
        <v>44396</v>
      </c>
      <c r="G298" s="186" t="s">
        <v>94</v>
      </c>
      <c r="H298" s="184" t="s">
        <v>87</v>
      </c>
      <c r="T298" s="184" t="s">
        <v>554</v>
      </c>
    </row>
    <row r="299" spans="1:20">
      <c r="A299" s="182">
        <v>44343</v>
      </c>
      <c r="B299" s="183">
        <v>0.64089120370370367</v>
      </c>
      <c r="C299" s="184" t="s">
        <v>67</v>
      </c>
      <c r="D299" s="184" t="s">
        <v>78</v>
      </c>
      <c r="E299" s="184" t="s">
        <v>96</v>
      </c>
      <c r="F299" s="182">
        <v>44398</v>
      </c>
      <c r="G299" s="186" t="s">
        <v>114</v>
      </c>
      <c r="H299" s="184" t="s">
        <v>288</v>
      </c>
    </row>
    <row r="300" spans="1:20">
      <c r="A300" s="182">
        <v>44344</v>
      </c>
      <c r="B300" s="183">
        <v>0.39129629629629631</v>
      </c>
      <c r="C300" s="184" t="s">
        <v>73</v>
      </c>
      <c r="D300" s="184" t="s">
        <v>68</v>
      </c>
      <c r="E300" s="184" t="s">
        <v>96</v>
      </c>
      <c r="F300" s="182">
        <v>44398</v>
      </c>
      <c r="G300" s="186" t="s">
        <v>94</v>
      </c>
      <c r="H300" s="184" t="s">
        <v>87</v>
      </c>
      <c r="T300" s="184" t="s">
        <v>97</v>
      </c>
    </row>
    <row r="301" spans="1:20">
      <c r="A301" s="182">
        <v>44344</v>
      </c>
      <c r="B301" s="183">
        <v>0.7230671296296296</v>
      </c>
      <c r="C301" s="184" t="s">
        <v>73</v>
      </c>
      <c r="D301" s="184" t="s">
        <v>78</v>
      </c>
      <c r="E301" s="184" t="s">
        <v>45</v>
      </c>
      <c r="F301" s="182">
        <v>44358</v>
      </c>
      <c r="G301" s="186" t="s">
        <v>94</v>
      </c>
      <c r="H301" s="184" t="s">
        <v>80</v>
      </c>
    </row>
    <row r="302" spans="1:20">
      <c r="A302" s="182">
        <v>44344</v>
      </c>
      <c r="B302" s="183">
        <v>0.7232291666666667</v>
      </c>
      <c r="C302" s="184" t="s">
        <v>73</v>
      </c>
      <c r="D302" s="184" t="s">
        <v>91</v>
      </c>
      <c r="E302" s="184" t="s">
        <v>96</v>
      </c>
      <c r="F302" s="182">
        <v>44398</v>
      </c>
      <c r="G302" s="186" t="s">
        <v>94</v>
      </c>
      <c r="H302" s="184" t="s">
        <v>337</v>
      </c>
    </row>
    <row r="303" spans="1:20">
      <c r="A303" s="182">
        <v>44347</v>
      </c>
      <c r="B303" s="183">
        <v>0.61917824074074079</v>
      </c>
      <c r="C303" s="184" t="s">
        <v>73</v>
      </c>
      <c r="D303" s="184" t="s">
        <v>78</v>
      </c>
      <c r="E303" s="184" t="s">
        <v>89</v>
      </c>
      <c r="F303" s="182">
        <v>44351</v>
      </c>
      <c r="G303" s="186" t="s">
        <v>94</v>
      </c>
      <c r="H303" s="184" t="s">
        <v>107</v>
      </c>
    </row>
    <row r="304" spans="1:20">
      <c r="A304" s="182">
        <v>44347</v>
      </c>
      <c r="B304" s="183">
        <v>0.63774305555555555</v>
      </c>
      <c r="C304" s="184" t="s">
        <v>73</v>
      </c>
      <c r="D304" s="184" t="s">
        <v>68</v>
      </c>
      <c r="E304" s="184" t="s">
        <v>96</v>
      </c>
      <c r="F304" s="182">
        <v>44452</v>
      </c>
      <c r="G304" s="186" t="s">
        <v>114</v>
      </c>
      <c r="H304" s="184" t="s">
        <v>117</v>
      </c>
      <c r="T304" s="184" t="s">
        <v>158</v>
      </c>
    </row>
    <row r="305" spans="1:20">
      <c r="A305" s="182">
        <v>44348</v>
      </c>
      <c r="B305" s="183">
        <v>0.49009259259259258</v>
      </c>
      <c r="C305" s="184" t="s">
        <v>67</v>
      </c>
      <c r="D305" s="184" t="s">
        <v>68</v>
      </c>
      <c r="E305" s="184" t="s">
        <v>69</v>
      </c>
      <c r="F305" s="182">
        <v>44456</v>
      </c>
      <c r="G305" s="186" t="s">
        <v>178</v>
      </c>
      <c r="H305" s="184" t="s">
        <v>103</v>
      </c>
      <c r="T305" s="184" t="s">
        <v>555</v>
      </c>
    </row>
    <row r="306" spans="1:20">
      <c r="A306" s="182">
        <v>44348</v>
      </c>
      <c r="B306" s="183">
        <v>0.71337962962962964</v>
      </c>
      <c r="C306" s="184" t="s">
        <v>67</v>
      </c>
      <c r="D306" s="184" t="s">
        <v>78</v>
      </c>
      <c r="E306" s="184" t="s">
        <v>45</v>
      </c>
      <c r="F306" s="182">
        <v>44358</v>
      </c>
      <c r="G306" s="186" t="s">
        <v>99</v>
      </c>
      <c r="H306" s="184" t="s">
        <v>82</v>
      </c>
    </row>
    <row r="307" spans="1:20">
      <c r="A307" s="182">
        <v>44349</v>
      </c>
      <c r="B307" s="183">
        <v>0.45233796296296297</v>
      </c>
      <c r="C307" s="184" t="s">
        <v>73</v>
      </c>
      <c r="D307" s="184" t="s">
        <v>68</v>
      </c>
      <c r="E307" s="184" t="s">
        <v>19</v>
      </c>
      <c r="F307" s="182">
        <v>44368</v>
      </c>
      <c r="G307" s="186" t="s">
        <v>99</v>
      </c>
      <c r="H307" s="184" t="s">
        <v>190</v>
      </c>
      <c r="T307" s="184" t="s">
        <v>556</v>
      </c>
    </row>
    <row r="308" spans="1:20">
      <c r="A308" s="182">
        <v>44349</v>
      </c>
      <c r="B308" s="183">
        <v>0.45648148148148149</v>
      </c>
      <c r="C308" s="184" t="s">
        <v>73</v>
      </c>
      <c r="D308" s="184" t="s">
        <v>68</v>
      </c>
      <c r="E308" s="184" t="s">
        <v>19</v>
      </c>
      <c r="F308" s="182">
        <v>44368</v>
      </c>
      <c r="G308" s="186" t="s">
        <v>94</v>
      </c>
      <c r="H308" s="184" t="s">
        <v>206</v>
      </c>
      <c r="T308" s="184" t="s">
        <v>257</v>
      </c>
    </row>
    <row r="309" spans="1:20">
      <c r="A309" s="182">
        <v>44349</v>
      </c>
      <c r="B309" s="183">
        <v>0.6308449074074074</v>
      </c>
      <c r="C309" s="184" t="s">
        <v>73</v>
      </c>
      <c r="D309" s="184" t="s">
        <v>78</v>
      </c>
      <c r="E309" s="184" t="s">
        <v>85</v>
      </c>
      <c r="F309" s="182">
        <v>44396</v>
      </c>
      <c r="G309" s="186" t="s">
        <v>70</v>
      </c>
      <c r="H309" s="184" t="s">
        <v>86</v>
      </c>
    </row>
    <row r="310" spans="1:20">
      <c r="A310" s="182">
        <v>44350</v>
      </c>
      <c r="B310" s="183">
        <v>0.40993055555555552</v>
      </c>
      <c r="C310" s="184" t="s">
        <v>67</v>
      </c>
      <c r="D310" s="184" t="s">
        <v>159</v>
      </c>
      <c r="E310" s="184" t="s">
        <v>19</v>
      </c>
      <c r="F310" s="182">
        <v>44460</v>
      </c>
      <c r="G310" s="186" t="s">
        <v>99</v>
      </c>
      <c r="H310" s="184" t="s">
        <v>215</v>
      </c>
    </row>
    <row r="311" spans="1:20">
      <c r="A311" s="182">
        <v>44350</v>
      </c>
      <c r="B311" s="183">
        <v>0.4736805555555556</v>
      </c>
      <c r="C311" s="184" t="s">
        <v>67</v>
      </c>
      <c r="D311" s="184" t="s">
        <v>78</v>
      </c>
      <c r="E311" s="184" t="s">
        <v>19</v>
      </c>
      <c r="F311" s="182">
        <v>44460</v>
      </c>
      <c r="G311" s="186" t="s">
        <v>94</v>
      </c>
      <c r="H311" s="184" t="s">
        <v>80</v>
      </c>
    </row>
    <row r="312" spans="1:20">
      <c r="A312" s="182">
        <v>44350</v>
      </c>
      <c r="B312" s="183">
        <v>0.67184027777777777</v>
      </c>
      <c r="C312" s="184" t="s">
        <v>67</v>
      </c>
      <c r="D312" s="184" t="s">
        <v>68</v>
      </c>
      <c r="E312" s="184" t="s">
        <v>96</v>
      </c>
      <c r="F312" s="182">
        <v>44452</v>
      </c>
      <c r="G312" s="186" t="s">
        <v>94</v>
      </c>
      <c r="H312" s="184" t="s">
        <v>259</v>
      </c>
      <c r="T312" s="184" t="s">
        <v>161</v>
      </c>
    </row>
    <row r="313" spans="1:20">
      <c r="A313" s="182">
        <v>44350</v>
      </c>
      <c r="B313" s="183">
        <v>0.67303240740740744</v>
      </c>
      <c r="C313" s="184" t="s">
        <v>67</v>
      </c>
      <c r="D313" s="184" t="s">
        <v>68</v>
      </c>
      <c r="E313" s="184" t="s">
        <v>69</v>
      </c>
      <c r="F313" s="182">
        <v>44456</v>
      </c>
      <c r="G313" s="186" t="s">
        <v>114</v>
      </c>
      <c r="H313" s="184" t="s">
        <v>117</v>
      </c>
      <c r="T313" s="184" t="s">
        <v>161</v>
      </c>
    </row>
    <row r="314" spans="1:20">
      <c r="A314" s="182">
        <v>44351</v>
      </c>
      <c r="B314" s="183">
        <v>0.41725694444444444</v>
      </c>
      <c r="C314" s="184" t="s">
        <v>67</v>
      </c>
      <c r="D314" s="184" t="s">
        <v>78</v>
      </c>
      <c r="E314" s="184" t="s">
        <v>89</v>
      </c>
      <c r="F314" s="182">
        <v>44505</v>
      </c>
      <c r="G314" s="186" t="s">
        <v>70</v>
      </c>
      <c r="H314" s="184" t="s">
        <v>86</v>
      </c>
    </row>
    <row r="315" spans="1:20">
      <c r="A315" s="182">
        <v>44354</v>
      </c>
      <c r="B315" s="183">
        <v>0.4132291666666667</v>
      </c>
      <c r="C315" s="184" t="s">
        <v>67</v>
      </c>
      <c r="D315" s="184" t="s">
        <v>68</v>
      </c>
      <c r="E315" s="184" t="s">
        <v>96</v>
      </c>
      <c r="F315" s="182">
        <v>44508</v>
      </c>
      <c r="G315" s="186" t="s">
        <v>94</v>
      </c>
      <c r="H315" s="184" t="s">
        <v>190</v>
      </c>
      <c r="T315" s="184" t="s">
        <v>557</v>
      </c>
    </row>
    <row r="316" spans="1:20">
      <c r="A316" s="182">
        <v>44354</v>
      </c>
      <c r="B316" s="183">
        <v>0.41478009259259258</v>
      </c>
      <c r="C316" s="184" t="s">
        <v>67</v>
      </c>
      <c r="D316" s="184" t="s">
        <v>68</v>
      </c>
      <c r="E316" s="184" t="s">
        <v>19</v>
      </c>
      <c r="F316" s="182">
        <v>44460</v>
      </c>
      <c r="G316" s="186" t="s">
        <v>114</v>
      </c>
      <c r="H316" s="184" t="s">
        <v>87</v>
      </c>
      <c r="T316" s="184" t="s">
        <v>557</v>
      </c>
    </row>
    <row r="317" spans="1:20">
      <c r="A317" s="182">
        <v>44354</v>
      </c>
      <c r="B317" s="183">
        <v>0.42798611111111112</v>
      </c>
      <c r="C317" s="184" t="s">
        <v>67</v>
      </c>
      <c r="D317" s="184" t="s">
        <v>78</v>
      </c>
      <c r="E317" s="184" t="s">
        <v>96</v>
      </c>
      <c r="F317" s="182">
        <v>44398</v>
      </c>
      <c r="G317" s="186" t="s">
        <v>94</v>
      </c>
      <c r="H317" s="184" t="s">
        <v>267</v>
      </c>
    </row>
    <row r="318" spans="1:20">
      <c r="A318" s="182">
        <v>44355</v>
      </c>
      <c r="B318" s="183">
        <v>0.46621527777777777</v>
      </c>
      <c r="C318" s="184" t="s">
        <v>67</v>
      </c>
      <c r="D318" s="184" t="s">
        <v>68</v>
      </c>
      <c r="E318" s="184" t="s">
        <v>19</v>
      </c>
      <c r="F318" s="182">
        <v>44460</v>
      </c>
      <c r="G318" s="186" t="s">
        <v>70</v>
      </c>
      <c r="H318" s="184" t="s">
        <v>101</v>
      </c>
      <c r="T318" s="184" t="s">
        <v>558</v>
      </c>
    </row>
    <row r="319" spans="1:20">
      <c r="A319" s="182">
        <v>44355</v>
      </c>
      <c r="B319" s="183">
        <v>0.47005787037037039</v>
      </c>
      <c r="C319" s="184" t="s">
        <v>67</v>
      </c>
      <c r="D319" s="184" t="s">
        <v>68</v>
      </c>
      <c r="E319" s="184" t="s">
        <v>19</v>
      </c>
      <c r="F319" s="182">
        <v>44460</v>
      </c>
      <c r="G319" s="186" t="s">
        <v>99</v>
      </c>
      <c r="H319" s="184" t="s">
        <v>87</v>
      </c>
      <c r="T319" s="184" t="s">
        <v>257</v>
      </c>
    </row>
    <row r="320" spans="1:20">
      <c r="A320" s="182">
        <v>44356</v>
      </c>
      <c r="B320" s="183">
        <v>0.44673611111111106</v>
      </c>
      <c r="C320" s="184" t="s">
        <v>73</v>
      </c>
      <c r="D320" s="184" t="s">
        <v>91</v>
      </c>
      <c r="E320" s="184" t="s">
        <v>96</v>
      </c>
      <c r="F320" s="182">
        <v>44398</v>
      </c>
      <c r="G320" s="186" t="s">
        <v>94</v>
      </c>
      <c r="H320" s="184" t="s">
        <v>295</v>
      </c>
    </row>
    <row r="321" spans="1:20">
      <c r="A321" s="182">
        <v>44357</v>
      </c>
      <c r="B321" s="183">
        <v>0.46461805555555552</v>
      </c>
      <c r="C321" s="184" t="s">
        <v>67</v>
      </c>
      <c r="D321" s="184" t="s">
        <v>78</v>
      </c>
      <c r="E321" s="184" t="s">
        <v>45</v>
      </c>
      <c r="F321" s="182">
        <v>44450</v>
      </c>
      <c r="G321" s="186" t="s">
        <v>94</v>
      </c>
      <c r="H321" s="184" t="s">
        <v>265</v>
      </c>
    </row>
    <row r="322" spans="1:20">
      <c r="A322" s="182">
        <v>44357</v>
      </c>
      <c r="B322" s="183">
        <v>0.46504629629629629</v>
      </c>
      <c r="C322" s="184" t="s">
        <v>67</v>
      </c>
      <c r="D322" s="184" t="s">
        <v>78</v>
      </c>
      <c r="E322" s="184" t="s">
        <v>96</v>
      </c>
      <c r="F322" s="182">
        <v>44452</v>
      </c>
      <c r="G322" s="186" t="s">
        <v>114</v>
      </c>
      <c r="H322" s="184" t="s">
        <v>113</v>
      </c>
    </row>
    <row r="323" spans="1:20">
      <c r="A323" s="182">
        <v>44358</v>
      </c>
      <c r="B323" s="183">
        <v>0.45909722222222221</v>
      </c>
      <c r="C323" s="184" t="s">
        <v>73</v>
      </c>
      <c r="D323" s="184" t="s">
        <v>68</v>
      </c>
      <c r="E323" s="184" t="s">
        <v>124</v>
      </c>
      <c r="F323" s="182">
        <v>44491</v>
      </c>
      <c r="G323" s="186" t="s">
        <v>99</v>
      </c>
      <c r="H323" s="184" t="s">
        <v>205</v>
      </c>
      <c r="T323" s="184" t="s">
        <v>559</v>
      </c>
    </row>
    <row r="324" spans="1:20">
      <c r="A324" s="182">
        <v>44358</v>
      </c>
      <c r="B324" s="183">
        <v>0.62006944444444445</v>
      </c>
      <c r="C324" s="184" t="s">
        <v>73</v>
      </c>
      <c r="D324" s="184" t="s">
        <v>68</v>
      </c>
      <c r="E324" s="184" t="s">
        <v>96</v>
      </c>
      <c r="F324" s="182">
        <v>44452</v>
      </c>
      <c r="G324" s="186" t="s">
        <v>94</v>
      </c>
      <c r="H324" s="184" t="s">
        <v>273</v>
      </c>
      <c r="T324" s="184" t="s">
        <v>234</v>
      </c>
    </row>
    <row r="325" spans="1:20">
      <c r="A325" s="182">
        <v>44358</v>
      </c>
      <c r="B325" s="183">
        <v>0.64883101851851854</v>
      </c>
      <c r="C325" s="184" t="s">
        <v>73</v>
      </c>
      <c r="D325" s="184" t="s">
        <v>78</v>
      </c>
      <c r="E325" s="184" t="s">
        <v>96</v>
      </c>
      <c r="F325" s="182">
        <v>44398</v>
      </c>
      <c r="G325" s="186" t="s">
        <v>94</v>
      </c>
      <c r="H325" s="184" t="s">
        <v>327</v>
      </c>
    </row>
    <row r="326" spans="1:20">
      <c r="A326" s="182">
        <v>44358</v>
      </c>
      <c r="B326" s="183">
        <v>0.68740740740740736</v>
      </c>
      <c r="C326" s="184" t="s">
        <v>73</v>
      </c>
      <c r="D326" s="184" t="s">
        <v>68</v>
      </c>
      <c r="E326" s="184" t="s">
        <v>96</v>
      </c>
      <c r="F326" s="182">
        <v>44398</v>
      </c>
      <c r="G326" s="186" t="s">
        <v>94</v>
      </c>
      <c r="H326" s="184" t="s">
        <v>101</v>
      </c>
      <c r="T326" s="184" t="s">
        <v>560</v>
      </c>
    </row>
    <row r="327" spans="1:20">
      <c r="A327" s="182">
        <v>44361</v>
      </c>
      <c r="B327" s="183">
        <v>0.41039351851851852</v>
      </c>
      <c r="C327" s="184" t="s">
        <v>73</v>
      </c>
      <c r="D327" s="184" t="s">
        <v>68</v>
      </c>
      <c r="E327" s="184" t="s">
        <v>124</v>
      </c>
      <c r="F327" s="182">
        <v>44491</v>
      </c>
      <c r="G327" s="186" t="s">
        <v>94</v>
      </c>
      <c r="H327" s="184" t="s">
        <v>536</v>
      </c>
      <c r="T327" s="184" t="s">
        <v>559</v>
      </c>
    </row>
    <row r="328" spans="1:20">
      <c r="A328" s="182">
        <v>44361</v>
      </c>
      <c r="B328" s="183">
        <v>0.42667824074074073</v>
      </c>
      <c r="C328" s="184" t="s">
        <v>73</v>
      </c>
      <c r="D328" s="184" t="s">
        <v>68</v>
      </c>
      <c r="E328" s="184" t="s">
        <v>85</v>
      </c>
      <c r="F328" s="182">
        <v>44396</v>
      </c>
      <c r="G328" s="186" t="s">
        <v>94</v>
      </c>
      <c r="H328" s="184" t="s">
        <v>101</v>
      </c>
      <c r="T328" s="184" t="s">
        <v>561</v>
      </c>
    </row>
    <row r="329" spans="1:20">
      <c r="A329" s="182">
        <v>44361</v>
      </c>
      <c r="B329" s="183">
        <v>0.47822916666666665</v>
      </c>
      <c r="C329" s="184" t="s">
        <v>67</v>
      </c>
      <c r="D329" s="184" t="s">
        <v>78</v>
      </c>
      <c r="E329" s="184" t="s">
        <v>96</v>
      </c>
      <c r="F329" s="182">
        <v>44398</v>
      </c>
      <c r="G329" s="186" t="s">
        <v>94</v>
      </c>
      <c r="H329" s="184" t="s">
        <v>82</v>
      </c>
    </row>
    <row r="330" spans="1:20">
      <c r="A330" s="182">
        <v>44361</v>
      </c>
      <c r="B330" s="183">
        <v>0.47857638888888893</v>
      </c>
      <c r="C330" s="184" t="s">
        <v>67</v>
      </c>
      <c r="D330" s="184" t="s">
        <v>91</v>
      </c>
      <c r="E330" s="184" t="s">
        <v>95</v>
      </c>
      <c r="F330" s="182">
        <v>44476</v>
      </c>
      <c r="G330" s="186" t="s">
        <v>75</v>
      </c>
      <c r="H330" s="184" t="s">
        <v>92</v>
      </c>
    </row>
    <row r="331" spans="1:20">
      <c r="A331" s="182">
        <v>44361</v>
      </c>
      <c r="B331" s="183">
        <v>0.47886574074074079</v>
      </c>
      <c r="C331" s="184" t="s">
        <v>67</v>
      </c>
      <c r="D331" s="184" t="s">
        <v>91</v>
      </c>
      <c r="E331" s="184" t="s">
        <v>19</v>
      </c>
      <c r="F331" s="182">
        <v>44504</v>
      </c>
      <c r="G331" s="186" t="s">
        <v>75</v>
      </c>
      <c r="H331" s="184" t="s">
        <v>92</v>
      </c>
    </row>
    <row r="332" spans="1:20">
      <c r="A332" s="182">
        <v>44362</v>
      </c>
      <c r="B332" s="183">
        <v>0.65881944444444451</v>
      </c>
      <c r="C332" s="184" t="s">
        <v>67</v>
      </c>
      <c r="D332" s="184" t="s">
        <v>68</v>
      </c>
      <c r="E332" s="184" t="s">
        <v>85</v>
      </c>
      <c r="F332" s="182">
        <v>44396</v>
      </c>
      <c r="G332" s="186" t="s">
        <v>94</v>
      </c>
      <c r="H332" s="184" t="s">
        <v>103</v>
      </c>
      <c r="T332" s="184" t="s">
        <v>562</v>
      </c>
    </row>
    <row r="333" spans="1:20">
      <c r="A333" s="182">
        <v>44362</v>
      </c>
      <c r="B333" s="183">
        <v>0.70122685185185185</v>
      </c>
      <c r="C333" s="184" t="s">
        <v>67</v>
      </c>
      <c r="D333" s="184" t="s">
        <v>91</v>
      </c>
      <c r="E333" s="184" t="s">
        <v>95</v>
      </c>
      <c r="F333" s="182">
        <v>44384</v>
      </c>
      <c r="G333" s="186" t="s">
        <v>99</v>
      </c>
      <c r="H333" s="184" t="s">
        <v>218</v>
      </c>
    </row>
    <row r="334" spans="1:20">
      <c r="A334" s="182">
        <v>44362</v>
      </c>
      <c r="B334" s="183">
        <v>0.7013194444444445</v>
      </c>
      <c r="C334" s="184" t="s">
        <v>67</v>
      </c>
      <c r="D334" s="184" t="s">
        <v>91</v>
      </c>
      <c r="E334" s="184" t="s">
        <v>95</v>
      </c>
      <c r="F334" s="182">
        <v>44384</v>
      </c>
      <c r="G334" s="186" t="s">
        <v>94</v>
      </c>
      <c r="H334" s="184" t="s">
        <v>193</v>
      </c>
    </row>
    <row r="335" spans="1:20">
      <c r="A335" s="182">
        <v>44363</v>
      </c>
      <c r="B335" s="183">
        <v>0.43053240740740745</v>
      </c>
      <c r="C335" s="184" t="s">
        <v>73</v>
      </c>
      <c r="D335" s="184" t="s">
        <v>68</v>
      </c>
      <c r="E335" s="184" t="s">
        <v>96</v>
      </c>
      <c r="F335" s="182">
        <v>44452</v>
      </c>
      <c r="G335" s="186" t="s">
        <v>99</v>
      </c>
      <c r="H335" s="184" t="s">
        <v>259</v>
      </c>
      <c r="T335" s="184" t="s">
        <v>158</v>
      </c>
    </row>
    <row r="336" spans="1:20">
      <c r="A336" s="182">
        <v>44363</v>
      </c>
      <c r="B336" s="183">
        <v>0.43128472222222225</v>
      </c>
      <c r="C336" s="184" t="s">
        <v>73</v>
      </c>
      <c r="D336" s="184" t="s">
        <v>68</v>
      </c>
      <c r="E336" s="184" t="s">
        <v>96</v>
      </c>
      <c r="F336" s="182">
        <v>44508</v>
      </c>
      <c r="G336" s="186" t="s">
        <v>94</v>
      </c>
      <c r="H336" s="184" t="s">
        <v>206</v>
      </c>
      <c r="T336" s="184" t="s">
        <v>158</v>
      </c>
    </row>
    <row r="337" spans="1:20">
      <c r="A337" s="182">
        <v>44364</v>
      </c>
      <c r="B337" s="183">
        <v>0.38796296296296301</v>
      </c>
      <c r="C337" s="184" t="s">
        <v>67</v>
      </c>
      <c r="D337" s="184" t="s">
        <v>68</v>
      </c>
      <c r="E337" s="184" t="s">
        <v>85</v>
      </c>
      <c r="F337" s="182">
        <v>44396</v>
      </c>
      <c r="G337" s="186" t="s">
        <v>94</v>
      </c>
      <c r="H337" s="184" t="s">
        <v>182</v>
      </c>
      <c r="T337" s="184" t="s">
        <v>563</v>
      </c>
    </row>
    <row r="338" spans="1:20">
      <c r="A338" s="182">
        <v>44364</v>
      </c>
      <c r="B338" s="183">
        <v>0.55841435185185184</v>
      </c>
      <c r="C338" s="184" t="s">
        <v>67</v>
      </c>
      <c r="D338" s="184" t="s">
        <v>78</v>
      </c>
      <c r="E338" s="184" t="s">
        <v>96</v>
      </c>
      <c r="F338" s="182">
        <v>44398</v>
      </c>
      <c r="G338" s="186" t="s">
        <v>94</v>
      </c>
      <c r="H338" s="184" t="s">
        <v>80</v>
      </c>
    </row>
    <row r="339" spans="1:20">
      <c r="A339" s="182">
        <v>44365</v>
      </c>
      <c r="B339" s="183">
        <v>0.55074074074074075</v>
      </c>
      <c r="C339" s="184" t="s">
        <v>67</v>
      </c>
      <c r="D339" s="184" t="s">
        <v>68</v>
      </c>
      <c r="E339" s="184" t="s">
        <v>95</v>
      </c>
      <c r="F339" s="182">
        <v>44384</v>
      </c>
      <c r="G339" s="186" t="s">
        <v>99</v>
      </c>
      <c r="H339" s="184" t="s">
        <v>261</v>
      </c>
      <c r="T339" s="184" t="s">
        <v>485</v>
      </c>
    </row>
    <row r="340" spans="1:20">
      <c r="A340" s="182">
        <v>44365</v>
      </c>
      <c r="B340" s="183">
        <v>0.55207175925925933</v>
      </c>
      <c r="C340" s="184" t="s">
        <v>67</v>
      </c>
      <c r="D340" s="184" t="s">
        <v>68</v>
      </c>
      <c r="E340" s="184" t="s">
        <v>95</v>
      </c>
      <c r="F340" s="182">
        <v>44384</v>
      </c>
      <c r="G340" s="186" t="s">
        <v>94</v>
      </c>
      <c r="H340" s="184" t="s">
        <v>260</v>
      </c>
    </row>
    <row r="341" spans="1:20">
      <c r="A341" s="182">
        <v>44365</v>
      </c>
      <c r="B341" s="183">
        <v>0.63684027777777785</v>
      </c>
      <c r="C341" s="184" t="s">
        <v>67</v>
      </c>
      <c r="D341" s="184" t="s">
        <v>91</v>
      </c>
      <c r="E341" s="184" t="s">
        <v>96</v>
      </c>
      <c r="F341" s="182">
        <v>44398</v>
      </c>
      <c r="G341" s="186" t="s">
        <v>94</v>
      </c>
      <c r="H341" s="184" t="s">
        <v>296</v>
      </c>
    </row>
    <row r="342" spans="1:20">
      <c r="A342" s="182">
        <v>44365</v>
      </c>
      <c r="B342" s="183">
        <v>0.66255787037037039</v>
      </c>
      <c r="C342" s="184" t="s">
        <v>67</v>
      </c>
      <c r="D342" s="184" t="s">
        <v>78</v>
      </c>
      <c r="E342" s="184" t="s">
        <v>96</v>
      </c>
      <c r="F342" s="182">
        <v>44398</v>
      </c>
      <c r="G342" s="186" t="s">
        <v>94</v>
      </c>
      <c r="H342" s="184" t="s">
        <v>98</v>
      </c>
    </row>
    <row r="343" spans="1:20">
      <c r="A343" s="182">
        <v>44365</v>
      </c>
      <c r="B343" s="183">
        <v>0.66339120370370364</v>
      </c>
      <c r="C343" s="184" t="s">
        <v>67</v>
      </c>
      <c r="D343" s="184" t="s">
        <v>78</v>
      </c>
      <c r="E343" s="184" t="s">
        <v>69</v>
      </c>
      <c r="F343" s="182">
        <v>44456</v>
      </c>
      <c r="G343" s="186" t="s">
        <v>75</v>
      </c>
      <c r="H343" s="184" t="s">
        <v>107</v>
      </c>
    </row>
    <row r="344" spans="1:20">
      <c r="A344" s="182">
        <v>44365</v>
      </c>
      <c r="B344" s="183">
        <v>0.70274305555555561</v>
      </c>
      <c r="C344" s="184" t="s">
        <v>73</v>
      </c>
      <c r="D344" s="184" t="s">
        <v>68</v>
      </c>
      <c r="E344" s="184" t="s">
        <v>95</v>
      </c>
      <c r="F344" s="182">
        <v>44384</v>
      </c>
      <c r="G344" s="186" t="s">
        <v>238</v>
      </c>
      <c r="H344" s="184" t="s">
        <v>117</v>
      </c>
      <c r="T344" s="184" t="s">
        <v>478</v>
      </c>
    </row>
    <row r="345" spans="1:20">
      <c r="A345" s="182">
        <v>44365</v>
      </c>
      <c r="B345" s="183">
        <v>0.70362268518518523</v>
      </c>
      <c r="C345" s="184" t="s">
        <v>73</v>
      </c>
      <c r="D345" s="184" t="s">
        <v>68</v>
      </c>
      <c r="E345" s="184" t="s">
        <v>95</v>
      </c>
      <c r="F345" s="182">
        <v>44384</v>
      </c>
      <c r="G345" s="186" t="s">
        <v>114</v>
      </c>
      <c r="H345" s="184" t="s">
        <v>273</v>
      </c>
    </row>
    <row r="346" spans="1:20">
      <c r="A346" s="182">
        <v>44368</v>
      </c>
      <c r="B346" s="183">
        <v>0.47417824074074072</v>
      </c>
      <c r="C346" s="184" t="s">
        <v>67</v>
      </c>
      <c r="D346" s="184" t="s">
        <v>68</v>
      </c>
      <c r="E346" s="184" t="s">
        <v>19</v>
      </c>
      <c r="F346" s="182">
        <v>44368</v>
      </c>
      <c r="G346" s="186" t="s">
        <v>99</v>
      </c>
      <c r="H346" s="184" t="s">
        <v>190</v>
      </c>
      <c r="T346" s="184" t="s">
        <v>289</v>
      </c>
    </row>
    <row r="347" spans="1:20">
      <c r="A347" s="182">
        <v>44368</v>
      </c>
      <c r="B347" s="183">
        <v>0.47450231481481481</v>
      </c>
      <c r="C347" s="184" t="s">
        <v>67</v>
      </c>
      <c r="D347" s="184" t="s">
        <v>68</v>
      </c>
      <c r="E347" s="184" t="s">
        <v>19</v>
      </c>
      <c r="F347" s="182">
        <v>44460</v>
      </c>
      <c r="G347" s="186" t="s">
        <v>94</v>
      </c>
      <c r="H347" s="184" t="s">
        <v>101</v>
      </c>
      <c r="T347" s="184" t="s">
        <v>289</v>
      </c>
    </row>
    <row r="348" spans="1:20">
      <c r="A348" s="182">
        <v>44368</v>
      </c>
      <c r="B348" s="183">
        <v>0.50733796296296296</v>
      </c>
      <c r="C348" s="184" t="s">
        <v>67</v>
      </c>
      <c r="D348" s="184" t="s">
        <v>68</v>
      </c>
      <c r="E348" s="184" t="s">
        <v>95</v>
      </c>
      <c r="F348" s="182">
        <v>44384</v>
      </c>
      <c r="G348" s="186" t="s">
        <v>94</v>
      </c>
      <c r="H348" s="184" t="s">
        <v>261</v>
      </c>
      <c r="T348" s="184" t="s">
        <v>564</v>
      </c>
    </row>
    <row r="349" spans="1:20">
      <c r="A349" s="182">
        <v>44370</v>
      </c>
      <c r="B349" s="183">
        <v>0.5071296296296296</v>
      </c>
      <c r="C349" s="184" t="s">
        <v>67</v>
      </c>
      <c r="D349" s="184" t="s">
        <v>78</v>
      </c>
      <c r="E349" s="184" t="s">
        <v>96</v>
      </c>
      <c r="F349" s="182">
        <v>44398</v>
      </c>
      <c r="G349" s="186" t="s">
        <v>94</v>
      </c>
      <c r="H349" s="184" t="s">
        <v>116</v>
      </c>
    </row>
    <row r="350" spans="1:20">
      <c r="A350" s="182">
        <v>44371</v>
      </c>
      <c r="B350" s="183">
        <v>0.44081018518518517</v>
      </c>
      <c r="C350" s="184" t="s">
        <v>67</v>
      </c>
      <c r="D350" s="184" t="s">
        <v>78</v>
      </c>
      <c r="E350" s="184" t="s">
        <v>85</v>
      </c>
      <c r="F350" s="182">
        <v>44396</v>
      </c>
      <c r="G350" s="186" t="s">
        <v>112</v>
      </c>
      <c r="H350" s="184" t="s">
        <v>113</v>
      </c>
    </row>
    <row r="351" spans="1:20">
      <c r="A351" s="182">
        <v>44371</v>
      </c>
      <c r="B351" s="183">
        <v>0.69695601851851852</v>
      </c>
      <c r="C351" s="184" t="s">
        <v>73</v>
      </c>
      <c r="D351" s="184" t="s">
        <v>68</v>
      </c>
      <c r="E351" s="184" t="s">
        <v>85</v>
      </c>
      <c r="F351" s="182">
        <v>44396</v>
      </c>
      <c r="G351" s="186" t="s">
        <v>99</v>
      </c>
      <c r="H351" s="184" t="s">
        <v>103</v>
      </c>
      <c r="T351" s="184" t="s">
        <v>554</v>
      </c>
    </row>
    <row r="352" spans="1:20">
      <c r="A352" s="182">
        <v>44371</v>
      </c>
      <c r="B352" s="183">
        <v>0.69818287037037041</v>
      </c>
      <c r="C352" s="184" t="s">
        <v>73</v>
      </c>
      <c r="D352" s="184" t="s">
        <v>68</v>
      </c>
      <c r="E352" s="184" t="s">
        <v>85</v>
      </c>
      <c r="F352" s="182">
        <v>44502</v>
      </c>
      <c r="G352" s="186" t="s">
        <v>70</v>
      </c>
      <c r="H352" s="184" t="s">
        <v>71</v>
      </c>
      <c r="T352" s="184" t="s">
        <v>554</v>
      </c>
    </row>
    <row r="353" spans="1:20">
      <c r="A353" s="182">
        <v>44375</v>
      </c>
      <c r="B353" s="183">
        <v>0.38567129629629626</v>
      </c>
      <c r="C353" s="184" t="s">
        <v>67</v>
      </c>
      <c r="D353" s="184" t="s">
        <v>68</v>
      </c>
      <c r="E353" s="184" t="s">
        <v>96</v>
      </c>
      <c r="F353" s="182">
        <v>44452</v>
      </c>
      <c r="G353" s="186" t="s">
        <v>94</v>
      </c>
      <c r="H353" s="184" t="s">
        <v>273</v>
      </c>
      <c r="T353" s="184" t="s">
        <v>565</v>
      </c>
    </row>
    <row r="354" spans="1:20">
      <c r="A354" s="182">
        <v>44375</v>
      </c>
      <c r="B354" s="183">
        <v>0.46524305555555556</v>
      </c>
      <c r="C354" s="184" t="s">
        <v>67</v>
      </c>
      <c r="D354" s="184" t="s">
        <v>68</v>
      </c>
      <c r="E354" s="184" t="s">
        <v>204</v>
      </c>
      <c r="F354" s="182">
        <v>44470</v>
      </c>
      <c r="G354" s="186" t="s">
        <v>70</v>
      </c>
      <c r="H354" s="184" t="s">
        <v>71</v>
      </c>
      <c r="T354" s="184" t="s">
        <v>566</v>
      </c>
    </row>
    <row r="355" spans="1:20">
      <c r="A355" s="182">
        <v>44375</v>
      </c>
      <c r="B355" s="183">
        <v>0.57028935185185181</v>
      </c>
      <c r="C355" s="184" t="s">
        <v>67</v>
      </c>
      <c r="D355" s="184" t="s">
        <v>78</v>
      </c>
      <c r="E355" s="184" t="s">
        <v>96</v>
      </c>
      <c r="F355" s="182">
        <v>44398</v>
      </c>
      <c r="G355" s="186" t="s">
        <v>94</v>
      </c>
      <c r="H355" s="184" t="s">
        <v>84</v>
      </c>
    </row>
    <row r="356" spans="1:20">
      <c r="A356" s="182">
        <v>44375</v>
      </c>
      <c r="B356" s="183">
        <v>0.65855324074074073</v>
      </c>
      <c r="C356" s="184" t="s">
        <v>67</v>
      </c>
      <c r="D356" s="184" t="s">
        <v>78</v>
      </c>
      <c r="E356" s="184" t="s">
        <v>45</v>
      </c>
      <c r="F356" s="182">
        <v>44450</v>
      </c>
      <c r="G356" s="186" t="s">
        <v>178</v>
      </c>
      <c r="H356" s="184" t="s">
        <v>80</v>
      </c>
    </row>
    <row r="357" spans="1:20">
      <c r="A357" s="182">
        <v>44375</v>
      </c>
      <c r="B357" s="183">
        <v>0.65877314814814814</v>
      </c>
      <c r="C357" s="184" t="s">
        <v>67</v>
      </c>
      <c r="D357" s="184" t="s">
        <v>78</v>
      </c>
      <c r="E357" s="184" t="s">
        <v>19</v>
      </c>
      <c r="F357" s="182">
        <v>44460</v>
      </c>
      <c r="G357" s="186" t="s">
        <v>114</v>
      </c>
      <c r="H357" s="184" t="s">
        <v>116</v>
      </c>
    </row>
    <row r="358" spans="1:20">
      <c r="A358" s="182">
        <v>44377</v>
      </c>
      <c r="B358" s="183">
        <v>0.44376157407407407</v>
      </c>
      <c r="C358" s="184" t="s">
        <v>67</v>
      </c>
      <c r="D358" s="184" t="s">
        <v>91</v>
      </c>
      <c r="E358" s="184" t="s">
        <v>69</v>
      </c>
      <c r="F358" s="182">
        <v>44456</v>
      </c>
      <c r="G358" s="186" t="s">
        <v>112</v>
      </c>
      <c r="H358" s="184" t="s">
        <v>285</v>
      </c>
    </row>
    <row r="359" spans="1:20">
      <c r="A359" s="182">
        <v>44377</v>
      </c>
      <c r="B359" s="183">
        <v>0.49560185185185185</v>
      </c>
      <c r="C359" s="184" t="s">
        <v>73</v>
      </c>
      <c r="D359" s="184" t="s">
        <v>68</v>
      </c>
      <c r="E359" s="184" t="s">
        <v>124</v>
      </c>
      <c r="F359" s="182">
        <v>44589</v>
      </c>
      <c r="G359" s="186" t="s">
        <v>99</v>
      </c>
      <c r="H359" s="184" t="s">
        <v>190</v>
      </c>
      <c r="T359" s="184" t="s">
        <v>286</v>
      </c>
    </row>
    <row r="360" spans="1:20">
      <c r="A360" s="182">
        <v>44377</v>
      </c>
      <c r="B360" s="183">
        <v>0.55912037037037032</v>
      </c>
      <c r="C360" s="184" t="s">
        <v>73</v>
      </c>
      <c r="D360" s="184" t="s">
        <v>68</v>
      </c>
      <c r="E360" s="184" t="s">
        <v>69</v>
      </c>
      <c r="F360" s="182">
        <v>44456</v>
      </c>
      <c r="G360" s="186" t="s">
        <v>94</v>
      </c>
      <c r="H360" s="184" t="s">
        <v>259</v>
      </c>
      <c r="T360" s="184" t="s">
        <v>567</v>
      </c>
    </row>
    <row r="361" spans="1:20">
      <c r="A361" s="182">
        <v>44377</v>
      </c>
      <c r="B361" s="183">
        <v>0.63671296296296298</v>
      </c>
      <c r="C361" s="184" t="s">
        <v>73</v>
      </c>
      <c r="D361" s="184" t="s">
        <v>91</v>
      </c>
      <c r="E361" s="184" t="s">
        <v>96</v>
      </c>
      <c r="F361" s="182">
        <v>44398</v>
      </c>
      <c r="G361" s="186" t="s">
        <v>99</v>
      </c>
      <c r="H361" s="184" t="s">
        <v>295</v>
      </c>
    </row>
    <row r="362" spans="1:20">
      <c r="A362" s="182">
        <v>44377</v>
      </c>
      <c r="B362" s="183">
        <v>0.6385763888888889</v>
      </c>
      <c r="C362" s="184" t="s">
        <v>73</v>
      </c>
      <c r="D362" s="184" t="s">
        <v>68</v>
      </c>
      <c r="E362" s="184" t="s">
        <v>96</v>
      </c>
      <c r="F362" s="182">
        <v>44398</v>
      </c>
      <c r="G362" s="186" t="s">
        <v>94</v>
      </c>
      <c r="H362" s="184" t="s">
        <v>103</v>
      </c>
      <c r="T362" s="184" t="s">
        <v>568</v>
      </c>
    </row>
    <row r="363" spans="1:20">
      <c r="A363" s="182">
        <v>44377</v>
      </c>
      <c r="B363" s="183">
        <v>0.64717592592592588</v>
      </c>
      <c r="C363" s="184" t="s">
        <v>73</v>
      </c>
      <c r="D363" s="184" t="s">
        <v>68</v>
      </c>
      <c r="E363" s="184" t="s">
        <v>96</v>
      </c>
      <c r="F363" s="182">
        <v>44398</v>
      </c>
      <c r="G363" s="186" t="s">
        <v>99</v>
      </c>
      <c r="H363" s="184" t="s">
        <v>101</v>
      </c>
      <c r="T363" s="184" t="s">
        <v>569</v>
      </c>
    </row>
    <row r="364" spans="1:20">
      <c r="A364" s="182">
        <v>44379</v>
      </c>
      <c r="B364" s="183">
        <v>0.57731481481481484</v>
      </c>
      <c r="C364" s="184" t="s">
        <v>73</v>
      </c>
      <c r="D364" s="184" t="s">
        <v>68</v>
      </c>
      <c r="E364" s="184" t="s">
        <v>95</v>
      </c>
      <c r="F364" s="182">
        <v>44476</v>
      </c>
      <c r="G364" s="186" t="s">
        <v>70</v>
      </c>
      <c r="H364" s="184" t="s">
        <v>76</v>
      </c>
      <c r="T364" s="184" t="s">
        <v>570</v>
      </c>
    </row>
    <row r="365" spans="1:20">
      <c r="A365" s="182">
        <v>44379</v>
      </c>
      <c r="B365" s="183">
        <v>0.57817129629629627</v>
      </c>
      <c r="C365" s="184" t="s">
        <v>73</v>
      </c>
      <c r="D365" s="184" t="s">
        <v>68</v>
      </c>
      <c r="E365" s="184" t="s">
        <v>95</v>
      </c>
      <c r="F365" s="182">
        <v>44476</v>
      </c>
      <c r="G365" s="186" t="s">
        <v>94</v>
      </c>
      <c r="H365" s="184" t="s">
        <v>87</v>
      </c>
      <c r="T365" s="184" t="s">
        <v>570</v>
      </c>
    </row>
    <row r="366" spans="1:20">
      <c r="A366" s="182">
        <v>44379</v>
      </c>
      <c r="B366" s="183">
        <v>0.59053240740740742</v>
      </c>
      <c r="C366" s="184" t="s">
        <v>73</v>
      </c>
      <c r="D366" s="184" t="s">
        <v>68</v>
      </c>
      <c r="E366" s="184" t="s">
        <v>19</v>
      </c>
      <c r="F366" s="182">
        <v>44504</v>
      </c>
      <c r="G366" s="186" t="s">
        <v>75</v>
      </c>
      <c r="H366" s="184" t="s">
        <v>87</v>
      </c>
      <c r="T366" s="184" t="s">
        <v>455</v>
      </c>
    </row>
    <row r="367" spans="1:20">
      <c r="A367" s="182">
        <v>44379</v>
      </c>
      <c r="B367" s="183">
        <v>0.59212962962962956</v>
      </c>
      <c r="C367" s="184" t="s">
        <v>73</v>
      </c>
      <c r="D367" s="184" t="s">
        <v>68</v>
      </c>
      <c r="E367" s="184" t="s">
        <v>96</v>
      </c>
      <c r="F367" s="182">
        <v>44452</v>
      </c>
      <c r="G367" s="186" t="s">
        <v>114</v>
      </c>
      <c r="H367" s="184" t="s">
        <v>260</v>
      </c>
      <c r="T367" s="184" t="s">
        <v>455</v>
      </c>
    </row>
    <row r="368" spans="1:20">
      <c r="A368" s="182">
        <v>44379</v>
      </c>
      <c r="B368" s="183">
        <v>0.5927662037037037</v>
      </c>
      <c r="C368" s="184" t="s">
        <v>73</v>
      </c>
      <c r="D368" s="184" t="s">
        <v>68</v>
      </c>
      <c r="E368" s="184" t="s">
        <v>45</v>
      </c>
      <c r="F368" s="182">
        <v>44526</v>
      </c>
      <c r="G368" s="186" t="s">
        <v>114</v>
      </c>
      <c r="H368" s="184" t="s">
        <v>87</v>
      </c>
      <c r="T368" s="184" t="s">
        <v>455</v>
      </c>
    </row>
    <row r="369" spans="1:20">
      <c r="A369" s="182">
        <v>44382</v>
      </c>
      <c r="B369" s="183">
        <v>0.59574074074074079</v>
      </c>
      <c r="C369" s="184" t="s">
        <v>67</v>
      </c>
      <c r="D369" s="184" t="s">
        <v>91</v>
      </c>
      <c r="E369" s="184" t="s">
        <v>95</v>
      </c>
      <c r="F369" s="182">
        <v>44384</v>
      </c>
      <c r="G369" s="186" t="s">
        <v>99</v>
      </c>
      <c r="H369" s="184" t="s">
        <v>218</v>
      </c>
    </row>
    <row r="370" spans="1:20">
      <c r="A370" s="182">
        <v>44383</v>
      </c>
      <c r="B370" s="183">
        <v>0.43660879629629629</v>
      </c>
      <c r="C370" s="184" t="s">
        <v>73</v>
      </c>
      <c r="D370" s="184" t="s">
        <v>78</v>
      </c>
      <c r="E370" s="184" t="s">
        <v>96</v>
      </c>
      <c r="F370" s="182">
        <v>44398</v>
      </c>
      <c r="G370" s="186" t="s">
        <v>99</v>
      </c>
      <c r="H370" s="184" t="s">
        <v>116</v>
      </c>
    </row>
    <row r="371" spans="1:20">
      <c r="A371" s="182">
        <v>44383</v>
      </c>
      <c r="B371" s="183">
        <v>0.46190972222222221</v>
      </c>
      <c r="C371" s="184" t="s">
        <v>73</v>
      </c>
      <c r="D371" s="184" t="s">
        <v>68</v>
      </c>
      <c r="E371" s="184" t="s">
        <v>96</v>
      </c>
      <c r="F371" s="182">
        <v>44398</v>
      </c>
      <c r="G371" s="186" t="s">
        <v>94</v>
      </c>
      <c r="H371" s="184" t="s">
        <v>103</v>
      </c>
      <c r="T371" s="184" t="s">
        <v>571</v>
      </c>
    </row>
    <row r="372" spans="1:20">
      <c r="A372" s="182">
        <v>44383</v>
      </c>
      <c r="B372" s="183">
        <v>0.50004629629629627</v>
      </c>
      <c r="C372" s="184" t="s">
        <v>73</v>
      </c>
      <c r="D372" s="184" t="s">
        <v>91</v>
      </c>
      <c r="E372" s="184" t="s">
        <v>19</v>
      </c>
      <c r="F372" s="182">
        <v>44460</v>
      </c>
      <c r="G372" s="186" t="s">
        <v>70</v>
      </c>
      <c r="H372" s="184" t="s">
        <v>93</v>
      </c>
    </row>
    <row r="373" spans="1:20">
      <c r="A373" s="182">
        <v>44383</v>
      </c>
      <c r="B373" s="183">
        <v>0.54079861111111105</v>
      </c>
      <c r="C373" s="184" t="s">
        <v>73</v>
      </c>
      <c r="D373" s="184" t="s">
        <v>68</v>
      </c>
      <c r="E373" s="184" t="s">
        <v>69</v>
      </c>
      <c r="F373" s="182">
        <v>44456</v>
      </c>
      <c r="G373" s="186" t="s">
        <v>112</v>
      </c>
      <c r="H373" s="184" t="s">
        <v>260</v>
      </c>
      <c r="T373" s="184" t="s">
        <v>572</v>
      </c>
    </row>
    <row r="374" spans="1:20">
      <c r="A374" s="182">
        <v>44383</v>
      </c>
      <c r="B374" s="183">
        <v>0.5446643518518518</v>
      </c>
      <c r="C374" s="184" t="s">
        <v>73</v>
      </c>
      <c r="D374" s="184" t="s">
        <v>68</v>
      </c>
      <c r="E374" s="184" t="s">
        <v>96</v>
      </c>
      <c r="F374" s="182">
        <v>44398</v>
      </c>
      <c r="G374" s="186" t="s">
        <v>99</v>
      </c>
      <c r="H374" s="184" t="s">
        <v>101</v>
      </c>
      <c r="T374" s="184" t="s">
        <v>573</v>
      </c>
    </row>
    <row r="375" spans="1:20">
      <c r="A375" s="182">
        <v>44383</v>
      </c>
      <c r="B375" s="183">
        <v>0.55060185185185184</v>
      </c>
      <c r="C375" s="184" t="s">
        <v>73</v>
      </c>
      <c r="D375" s="184" t="s">
        <v>91</v>
      </c>
      <c r="E375" s="184" t="s">
        <v>19</v>
      </c>
      <c r="F375" s="182">
        <v>44460</v>
      </c>
      <c r="G375" s="186" t="s">
        <v>99</v>
      </c>
      <c r="H375" s="184" t="s">
        <v>278</v>
      </c>
    </row>
    <row r="376" spans="1:20">
      <c r="A376" s="182">
        <v>44383</v>
      </c>
      <c r="B376" s="183">
        <v>0.60817129629629629</v>
      </c>
      <c r="C376" s="184" t="s">
        <v>73</v>
      </c>
      <c r="D376" s="184" t="s">
        <v>68</v>
      </c>
      <c r="E376" s="184" t="s">
        <v>96</v>
      </c>
      <c r="F376" s="182">
        <v>44398</v>
      </c>
      <c r="G376" s="186" t="s">
        <v>94</v>
      </c>
      <c r="H376" s="184" t="s">
        <v>103</v>
      </c>
      <c r="T376" s="184" t="s">
        <v>574</v>
      </c>
    </row>
    <row r="377" spans="1:20">
      <c r="A377" s="182">
        <v>44384</v>
      </c>
      <c r="B377" s="183">
        <v>0.3956944444444444</v>
      </c>
      <c r="C377" s="184" t="s">
        <v>73</v>
      </c>
      <c r="D377" s="184" t="s">
        <v>68</v>
      </c>
      <c r="E377" s="184" t="s">
        <v>96</v>
      </c>
      <c r="F377" s="182">
        <v>44398</v>
      </c>
      <c r="G377" s="186" t="s">
        <v>94</v>
      </c>
      <c r="H377" s="184" t="s">
        <v>182</v>
      </c>
      <c r="T377" s="184" t="s">
        <v>575</v>
      </c>
    </row>
    <row r="378" spans="1:20">
      <c r="A378" s="182">
        <v>44384</v>
      </c>
      <c r="B378" s="183">
        <v>0.39740740740740743</v>
      </c>
      <c r="C378" s="184" t="s">
        <v>73</v>
      </c>
      <c r="D378" s="184" t="s">
        <v>91</v>
      </c>
      <c r="E378" s="184" t="s">
        <v>96</v>
      </c>
      <c r="F378" s="182">
        <v>44398</v>
      </c>
      <c r="G378" s="186" t="s">
        <v>99</v>
      </c>
      <c r="H378" s="184" t="s">
        <v>337</v>
      </c>
    </row>
    <row r="379" spans="1:20">
      <c r="A379" s="182">
        <v>44384</v>
      </c>
      <c r="B379" s="183">
        <v>0.39745370370370375</v>
      </c>
      <c r="C379" s="184" t="s">
        <v>73</v>
      </c>
      <c r="D379" s="184" t="s">
        <v>91</v>
      </c>
      <c r="E379" s="184" t="s">
        <v>96</v>
      </c>
      <c r="F379" s="182">
        <v>44452</v>
      </c>
      <c r="G379" s="186" t="s">
        <v>94</v>
      </c>
      <c r="H379" s="184" t="s">
        <v>229</v>
      </c>
    </row>
    <row r="380" spans="1:20">
      <c r="A380" s="182">
        <v>44384</v>
      </c>
      <c r="B380" s="183">
        <v>0.46001157407407406</v>
      </c>
      <c r="C380" s="184" t="s">
        <v>73</v>
      </c>
      <c r="D380" s="184" t="s">
        <v>68</v>
      </c>
      <c r="E380" s="184" t="s">
        <v>96</v>
      </c>
      <c r="F380" s="182">
        <v>44398</v>
      </c>
      <c r="G380" s="186" t="s">
        <v>94</v>
      </c>
      <c r="H380" s="184" t="s">
        <v>117</v>
      </c>
      <c r="T380" s="184" t="s">
        <v>576</v>
      </c>
    </row>
    <row r="381" spans="1:20">
      <c r="A381" s="182">
        <v>44385</v>
      </c>
      <c r="B381" s="183">
        <v>0.37656249999999997</v>
      </c>
      <c r="C381" s="184" t="s">
        <v>67</v>
      </c>
      <c r="D381" s="184" t="s">
        <v>68</v>
      </c>
      <c r="E381" s="184" t="s">
        <v>96</v>
      </c>
      <c r="F381" s="182">
        <v>44398</v>
      </c>
      <c r="G381" s="186" t="s">
        <v>99</v>
      </c>
      <c r="H381" s="184" t="s">
        <v>182</v>
      </c>
      <c r="T381" s="184" t="s">
        <v>571</v>
      </c>
    </row>
    <row r="382" spans="1:20">
      <c r="A382" s="182">
        <v>44386</v>
      </c>
      <c r="B382" s="183">
        <v>0.39814814814814814</v>
      </c>
      <c r="C382" s="184" t="s">
        <v>73</v>
      </c>
      <c r="D382" s="184" t="s">
        <v>68</v>
      </c>
      <c r="E382" s="184" t="s">
        <v>19</v>
      </c>
      <c r="F382" s="182">
        <v>44460</v>
      </c>
      <c r="G382" s="186" t="s">
        <v>70</v>
      </c>
      <c r="H382" s="184" t="s">
        <v>103</v>
      </c>
      <c r="T382" s="184" t="s">
        <v>577</v>
      </c>
    </row>
    <row r="383" spans="1:20">
      <c r="A383" s="182">
        <v>44389</v>
      </c>
      <c r="B383" s="183">
        <v>0.40609953703703705</v>
      </c>
      <c r="C383" s="184" t="s">
        <v>73</v>
      </c>
      <c r="D383" s="184" t="s">
        <v>68</v>
      </c>
      <c r="E383" s="184" t="s">
        <v>96</v>
      </c>
      <c r="F383" s="182">
        <v>44452</v>
      </c>
      <c r="G383" s="186" t="s">
        <v>94</v>
      </c>
      <c r="H383" s="184" t="s">
        <v>256</v>
      </c>
      <c r="T383" s="184" t="s">
        <v>578</v>
      </c>
    </row>
    <row r="384" spans="1:20">
      <c r="A384" s="182">
        <v>44389</v>
      </c>
      <c r="B384" s="183">
        <v>0.40733796296296299</v>
      </c>
      <c r="C384" s="184" t="s">
        <v>73</v>
      </c>
      <c r="D384" s="184" t="s">
        <v>68</v>
      </c>
      <c r="E384" s="184" t="s">
        <v>204</v>
      </c>
      <c r="F384" s="182">
        <v>44470</v>
      </c>
      <c r="G384" s="186" t="s">
        <v>94</v>
      </c>
      <c r="H384" s="184" t="s">
        <v>76</v>
      </c>
      <c r="T384" s="184" t="s">
        <v>578</v>
      </c>
    </row>
    <row r="385" spans="1:20">
      <c r="A385" s="182">
        <v>44389</v>
      </c>
      <c r="B385" s="183">
        <v>0.44594907407407408</v>
      </c>
      <c r="C385" s="184" t="s">
        <v>67</v>
      </c>
      <c r="D385" s="184" t="s">
        <v>68</v>
      </c>
      <c r="E385" s="184" t="s">
        <v>96</v>
      </c>
      <c r="F385" s="182">
        <v>44452</v>
      </c>
      <c r="G385" s="186" t="s">
        <v>94</v>
      </c>
      <c r="H385" s="184" t="s">
        <v>305</v>
      </c>
      <c r="T385" s="184" t="s">
        <v>579</v>
      </c>
    </row>
    <row r="386" spans="1:20">
      <c r="A386" s="182">
        <v>44389</v>
      </c>
      <c r="B386" s="183">
        <v>0.68898148148148142</v>
      </c>
      <c r="C386" s="184" t="s">
        <v>67</v>
      </c>
      <c r="D386" s="184" t="s">
        <v>78</v>
      </c>
      <c r="E386" s="184" t="s">
        <v>19</v>
      </c>
      <c r="F386" s="182">
        <v>44460</v>
      </c>
      <c r="G386" s="186" t="s">
        <v>94</v>
      </c>
      <c r="H386" s="184" t="s">
        <v>84</v>
      </c>
    </row>
    <row r="387" spans="1:20">
      <c r="A387" s="182">
        <v>44390</v>
      </c>
      <c r="B387" s="183">
        <v>0.39042824074074073</v>
      </c>
      <c r="C387" s="184" t="s">
        <v>67</v>
      </c>
      <c r="D387" s="184" t="s">
        <v>68</v>
      </c>
      <c r="E387" s="184" t="s">
        <v>204</v>
      </c>
      <c r="F387" s="182">
        <v>44470</v>
      </c>
      <c r="G387" s="186" t="s">
        <v>114</v>
      </c>
      <c r="H387" s="184" t="s">
        <v>101</v>
      </c>
      <c r="T387" s="184" t="s">
        <v>161</v>
      </c>
    </row>
    <row r="388" spans="1:20">
      <c r="A388" s="182">
        <v>44390</v>
      </c>
      <c r="B388" s="183">
        <v>0.58084490740740746</v>
      </c>
      <c r="C388" s="184" t="s">
        <v>67</v>
      </c>
      <c r="D388" s="184" t="s">
        <v>68</v>
      </c>
      <c r="E388" s="184" t="s">
        <v>69</v>
      </c>
      <c r="F388" s="182">
        <v>44456</v>
      </c>
      <c r="G388" s="186" t="s">
        <v>94</v>
      </c>
      <c r="H388" s="184" t="s">
        <v>256</v>
      </c>
      <c r="T388" s="184" t="s">
        <v>580</v>
      </c>
    </row>
    <row r="389" spans="1:20">
      <c r="A389" s="182">
        <v>44391</v>
      </c>
      <c r="B389" s="183">
        <v>0.44535879629629632</v>
      </c>
      <c r="C389" s="184" t="s">
        <v>67</v>
      </c>
      <c r="D389" s="184" t="s">
        <v>78</v>
      </c>
      <c r="E389" s="184" t="s">
        <v>45</v>
      </c>
      <c r="F389" s="182">
        <v>44450</v>
      </c>
      <c r="G389" s="186" t="s">
        <v>114</v>
      </c>
      <c r="H389" s="184" t="s">
        <v>116</v>
      </c>
    </row>
    <row r="390" spans="1:20">
      <c r="A390" s="182">
        <v>44391</v>
      </c>
      <c r="B390" s="183">
        <v>0.44572916666666668</v>
      </c>
      <c r="C390" s="184" t="s">
        <v>67</v>
      </c>
      <c r="D390" s="184" t="s">
        <v>78</v>
      </c>
      <c r="E390" s="184" t="s">
        <v>96</v>
      </c>
      <c r="F390" s="182">
        <v>44452</v>
      </c>
      <c r="G390" s="186" t="s">
        <v>114</v>
      </c>
      <c r="H390" s="184" t="s">
        <v>288</v>
      </c>
    </row>
    <row r="391" spans="1:20">
      <c r="A391" s="182">
        <v>44391</v>
      </c>
      <c r="B391" s="183">
        <v>0.44593750000000004</v>
      </c>
      <c r="C391" s="184" t="s">
        <v>67</v>
      </c>
      <c r="D391" s="184" t="s">
        <v>78</v>
      </c>
      <c r="E391" s="184" t="s">
        <v>19</v>
      </c>
      <c r="F391" s="182">
        <v>44460</v>
      </c>
      <c r="G391" s="186" t="s">
        <v>114</v>
      </c>
      <c r="H391" s="184" t="s">
        <v>280</v>
      </c>
    </row>
    <row r="392" spans="1:20">
      <c r="A392" s="182">
        <v>44392</v>
      </c>
      <c r="B392" s="183">
        <v>0.37791666666666668</v>
      </c>
      <c r="C392" s="184" t="s">
        <v>67</v>
      </c>
      <c r="D392" s="184" t="s">
        <v>78</v>
      </c>
      <c r="E392" s="184" t="s">
        <v>96</v>
      </c>
      <c r="F392" s="182">
        <v>44398</v>
      </c>
      <c r="G392" s="186" t="s">
        <v>94</v>
      </c>
      <c r="H392" s="184" t="s">
        <v>84</v>
      </c>
    </row>
    <row r="393" spans="1:20">
      <c r="A393" s="182">
        <v>44392</v>
      </c>
      <c r="B393" s="183">
        <v>0.45541666666666664</v>
      </c>
      <c r="C393" s="184" t="s">
        <v>73</v>
      </c>
      <c r="D393" s="184" t="s">
        <v>68</v>
      </c>
      <c r="E393" s="184" t="s">
        <v>85</v>
      </c>
      <c r="F393" s="182">
        <v>44502</v>
      </c>
      <c r="G393" s="186" t="s">
        <v>112</v>
      </c>
      <c r="H393" s="184" t="s">
        <v>101</v>
      </c>
      <c r="T393" s="184" t="s">
        <v>582</v>
      </c>
    </row>
    <row r="394" spans="1:20">
      <c r="A394" s="182">
        <v>44392</v>
      </c>
      <c r="B394" s="183">
        <v>0.45634259259259258</v>
      </c>
      <c r="C394" s="184" t="s">
        <v>73</v>
      </c>
      <c r="D394" s="184" t="s">
        <v>68</v>
      </c>
      <c r="E394" s="184" t="s">
        <v>45</v>
      </c>
      <c r="F394" s="182">
        <v>44526</v>
      </c>
      <c r="G394" s="186" t="s">
        <v>83</v>
      </c>
      <c r="H394" s="184" t="s">
        <v>117</v>
      </c>
      <c r="T394" s="184" t="s">
        <v>582</v>
      </c>
    </row>
    <row r="395" spans="1:20">
      <c r="A395" s="182">
        <v>44392</v>
      </c>
      <c r="B395" s="183">
        <v>0.45704861111111111</v>
      </c>
      <c r="C395" s="184" t="s">
        <v>73</v>
      </c>
      <c r="D395" s="184" t="s">
        <v>68</v>
      </c>
      <c r="E395" s="184" t="s">
        <v>19</v>
      </c>
      <c r="F395" s="182">
        <v>44573</v>
      </c>
      <c r="G395" s="186" t="s">
        <v>94</v>
      </c>
      <c r="H395" s="184" t="s">
        <v>76</v>
      </c>
      <c r="T395" s="184" t="s">
        <v>582</v>
      </c>
    </row>
    <row r="396" spans="1:20">
      <c r="A396" s="182">
        <v>44392</v>
      </c>
      <c r="B396" s="183">
        <v>0.45812499999999995</v>
      </c>
      <c r="C396" s="184" t="s">
        <v>73</v>
      </c>
      <c r="D396" s="184" t="s">
        <v>68</v>
      </c>
      <c r="E396" s="184" t="s">
        <v>19</v>
      </c>
      <c r="F396" s="182">
        <v>44460</v>
      </c>
      <c r="G396" s="186" t="s">
        <v>112</v>
      </c>
      <c r="H396" s="184" t="s">
        <v>259</v>
      </c>
      <c r="T396" s="184" t="s">
        <v>343</v>
      </c>
    </row>
    <row r="397" spans="1:20">
      <c r="A397" s="182">
        <v>44392</v>
      </c>
      <c r="B397" s="183">
        <v>0.45890046296296294</v>
      </c>
      <c r="C397" s="184" t="s">
        <v>73</v>
      </c>
      <c r="D397" s="184" t="s">
        <v>68</v>
      </c>
      <c r="E397" s="184" t="s">
        <v>45</v>
      </c>
      <c r="F397" s="182">
        <v>44450</v>
      </c>
      <c r="G397" s="186" t="s">
        <v>105</v>
      </c>
      <c r="H397" s="184" t="s">
        <v>87</v>
      </c>
      <c r="T397" s="184" t="s">
        <v>343</v>
      </c>
    </row>
    <row r="398" spans="1:20">
      <c r="A398" s="182">
        <v>44396</v>
      </c>
      <c r="B398" s="183">
        <v>0.56244212962962969</v>
      </c>
      <c r="C398" s="184" t="s">
        <v>73</v>
      </c>
      <c r="D398" s="184" t="s">
        <v>68</v>
      </c>
      <c r="E398" s="184" t="s">
        <v>95</v>
      </c>
      <c r="F398" s="182">
        <v>44476</v>
      </c>
      <c r="G398" s="186" t="s">
        <v>94</v>
      </c>
      <c r="H398" s="184" t="s">
        <v>101</v>
      </c>
      <c r="T398" s="184" t="s">
        <v>488</v>
      </c>
    </row>
    <row r="399" spans="1:20">
      <c r="A399" s="182">
        <v>44396</v>
      </c>
      <c r="B399" s="183">
        <v>0.62017361111111113</v>
      </c>
      <c r="C399" s="184" t="s">
        <v>73</v>
      </c>
      <c r="D399" s="184" t="s">
        <v>68</v>
      </c>
      <c r="E399" s="184" t="s">
        <v>45</v>
      </c>
      <c r="F399" s="182">
        <v>44526</v>
      </c>
      <c r="G399" s="186" t="s">
        <v>94</v>
      </c>
      <c r="H399" s="184" t="s">
        <v>259</v>
      </c>
      <c r="T399" s="184" t="s">
        <v>582</v>
      </c>
    </row>
    <row r="400" spans="1:20">
      <c r="A400" s="182">
        <v>44396</v>
      </c>
      <c r="B400" s="183">
        <v>0.62950231481481478</v>
      </c>
      <c r="C400" s="184" t="s">
        <v>67</v>
      </c>
      <c r="D400" s="184" t="s">
        <v>68</v>
      </c>
      <c r="E400" s="184" t="s">
        <v>124</v>
      </c>
      <c r="F400" s="182">
        <v>44491</v>
      </c>
      <c r="G400" s="186" t="s">
        <v>99</v>
      </c>
      <c r="H400" s="184" t="s">
        <v>205</v>
      </c>
      <c r="T400" s="184" t="s">
        <v>147</v>
      </c>
    </row>
    <row r="401" spans="1:20">
      <c r="A401" s="182">
        <v>44398</v>
      </c>
      <c r="B401" s="183">
        <v>0.39686342592592588</v>
      </c>
      <c r="C401" s="184" t="s">
        <v>67</v>
      </c>
      <c r="D401" s="184" t="s">
        <v>91</v>
      </c>
      <c r="E401" s="184" t="s">
        <v>19</v>
      </c>
      <c r="F401" s="182">
        <v>44460</v>
      </c>
      <c r="G401" s="186" t="s">
        <v>114</v>
      </c>
      <c r="H401" s="184" t="s">
        <v>92</v>
      </c>
    </row>
    <row r="402" spans="1:20">
      <c r="A402" s="182">
        <v>44398</v>
      </c>
      <c r="B402" s="183">
        <v>0.39710648148148148</v>
      </c>
      <c r="C402" s="184" t="s">
        <v>67</v>
      </c>
      <c r="D402" s="184" t="s">
        <v>91</v>
      </c>
      <c r="E402" s="184" t="s">
        <v>95</v>
      </c>
      <c r="F402" s="182">
        <v>44476</v>
      </c>
      <c r="G402" s="186" t="s">
        <v>114</v>
      </c>
      <c r="H402" s="184" t="s">
        <v>285</v>
      </c>
    </row>
    <row r="403" spans="1:20">
      <c r="A403" s="182">
        <v>44398</v>
      </c>
      <c r="B403" s="183">
        <v>0.59124999999999994</v>
      </c>
      <c r="C403" s="184" t="s">
        <v>73</v>
      </c>
      <c r="D403" s="184" t="s">
        <v>68</v>
      </c>
      <c r="E403" s="184" t="s">
        <v>96</v>
      </c>
      <c r="F403" s="182">
        <v>44452</v>
      </c>
      <c r="G403" s="186" t="s">
        <v>94</v>
      </c>
      <c r="H403" s="184" t="s">
        <v>322</v>
      </c>
      <c r="T403" s="184" t="s">
        <v>583</v>
      </c>
    </row>
    <row r="404" spans="1:20">
      <c r="A404" s="182">
        <v>44398</v>
      </c>
      <c r="B404" s="183">
        <v>0.66378472222222229</v>
      </c>
      <c r="C404" s="184" t="s">
        <v>73</v>
      </c>
      <c r="D404" s="184" t="s">
        <v>68</v>
      </c>
      <c r="E404" s="184" t="s">
        <v>69</v>
      </c>
      <c r="F404" s="182">
        <v>44456</v>
      </c>
      <c r="G404" s="186" t="s">
        <v>94</v>
      </c>
      <c r="H404" s="184" t="s">
        <v>305</v>
      </c>
      <c r="T404" s="184" t="s">
        <v>584</v>
      </c>
    </row>
    <row r="405" spans="1:20">
      <c r="A405" s="182">
        <v>44403</v>
      </c>
      <c r="B405" s="183">
        <v>0.49108796296296298</v>
      </c>
      <c r="C405" s="184" t="s">
        <v>73</v>
      </c>
      <c r="D405" s="184" t="s">
        <v>68</v>
      </c>
      <c r="E405" s="184" t="s">
        <v>124</v>
      </c>
      <c r="F405" s="182">
        <v>44491</v>
      </c>
      <c r="G405" s="186" t="s">
        <v>94</v>
      </c>
      <c r="H405" s="184" t="s">
        <v>536</v>
      </c>
      <c r="T405" s="184" t="s">
        <v>302</v>
      </c>
    </row>
    <row r="406" spans="1:20">
      <c r="A406" s="182">
        <v>44424</v>
      </c>
      <c r="B406" s="183">
        <v>0.38290509259259259</v>
      </c>
      <c r="C406" s="184" t="s">
        <v>594</v>
      </c>
      <c r="D406" s="184" t="s">
        <v>595</v>
      </c>
      <c r="E406" s="184" t="s">
        <v>596</v>
      </c>
      <c r="F406" s="182">
        <v>44491</v>
      </c>
      <c r="G406" s="186" t="s">
        <v>599</v>
      </c>
      <c r="H406" s="184" t="s">
        <v>601</v>
      </c>
      <c r="T406" s="184" t="s">
        <v>431</v>
      </c>
    </row>
    <row r="407" spans="1:20">
      <c r="A407" s="182">
        <v>44404</v>
      </c>
      <c r="B407" s="183">
        <v>0.43797453703703698</v>
      </c>
      <c r="C407" s="184" t="s">
        <v>67</v>
      </c>
      <c r="D407" s="184" t="s">
        <v>78</v>
      </c>
      <c r="E407" s="184" t="s">
        <v>19</v>
      </c>
      <c r="F407" s="182">
        <v>44460</v>
      </c>
      <c r="G407" s="186" t="s">
        <v>94</v>
      </c>
      <c r="H407" s="184" t="s">
        <v>186</v>
      </c>
    </row>
    <row r="408" spans="1:20">
      <c r="A408" s="182">
        <v>44404</v>
      </c>
      <c r="B408" s="183">
        <v>0.48495370370370372</v>
      </c>
      <c r="C408" s="184" t="s">
        <v>67</v>
      </c>
      <c r="D408" s="184" t="s">
        <v>78</v>
      </c>
      <c r="E408" s="184" t="s">
        <v>19</v>
      </c>
      <c r="F408" s="182">
        <v>44460</v>
      </c>
      <c r="G408" s="186" t="s">
        <v>94</v>
      </c>
      <c r="H408" s="184" t="s">
        <v>208</v>
      </c>
    </row>
    <row r="409" spans="1:20">
      <c r="A409" s="182">
        <v>44405</v>
      </c>
      <c r="B409" s="183">
        <v>0.40296296296296297</v>
      </c>
      <c r="C409" s="184" t="s">
        <v>73</v>
      </c>
      <c r="D409" s="184" t="s">
        <v>91</v>
      </c>
      <c r="E409" s="184" t="s">
        <v>69</v>
      </c>
      <c r="F409" s="182">
        <v>44456</v>
      </c>
      <c r="G409" s="186" t="s">
        <v>83</v>
      </c>
      <c r="H409" s="184" t="s">
        <v>218</v>
      </c>
    </row>
    <row r="410" spans="1:20">
      <c r="A410" s="182">
        <v>44406</v>
      </c>
      <c r="B410" s="183">
        <v>0.63203703703703706</v>
      </c>
      <c r="C410" s="184" t="s">
        <v>67</v>
      </c>
      <c r="D410" s="184" t="s">
        <v>91</v>
      </c>
      <c r="E410" s="184" t="s">
        <v>19</v>
      </c>
      <c r="F410" s="182">
        <v>44504</v>
      </c>
      <c r="G410" s="186" t="s">
        <v>70</v>
      </c>
      <c r="H410" s="184" t="s">
        <v>227</v>
      </c>
    </row>
    <row r="411" spans="1:20">
      <c r="A411" s="182">
        <v>44406</v>
      </c>
      <c r="B411" s="183">
        <v>0.63260416666666663</v>
      </c>
      <c r="C411" s="184" t="s">
        <v>67</v>
      </c>
      <c r="D411" s="184" t="s">
        <v>91</v>
      </c>
      <c r="E411" s="184" t="s">
        <v>19</v>
      </c>
      <c r="F411" s="182">
        <v>44460</v>
      </c>
      <c r="G411" s="186" t="s">
        <v>94</v>
      </c>
      <c r="H411" s="184" t="s">
        <v>227</v>
      </c>
    </row>
    <row r="412" spans="1:20">
      <c r="A412" s="182">
        <v>44406</v>
      </c>
      <c r="B412" s="183">
        <v>0.63305555555555559</v>
      </c>
      <c r="C412" s="184" t="s">
        <v>67</v>
      </c>
      <c r="D412" s="184" t="s">
        <v>78</v>
      </c>
      <c r="E412" s="184" t="s">
        <v>19</v>
      </c>
      <c r="F412" s="182">
        <v>44504</v>
      </c>
      <c r="G412" s="186" t="s">
        <v>94</v>
      </c>
      <c r="H412" s="184" t="s">
        <v>106</v>
      </c>
    </row>
    <row r="413" spans="1:20">
      <c r="A413" s="182">
        <v>44407</v>
      </c>
      <c r="B413" s="183">
        <v>0.56265046296296295</v>
      </c>
      <c r="C413" s="184" t="s">
        <v>67</v>
      </c>
      <c r="D413" s="184" t="s">
        <v>68</v>
      </c>
      <c r="E413" s="184" t="s">
        <v>96</v>
      </c>
      <c r="F413" s="182">
        <v>44452</v>
      </c>
      <c r="G413" s="186" t="s">
        <v>94</v>
      </c>
      <c r="H413" s="184" t="s">
        <v>185</v>
      </c>
      <c r="T413" s="184" t="s">
        <v>420</v>
      </c>
    </row>
    <row r="414" spans="1:20">
      <c r="A414" s="182">
        <v>44410</v>
      </c>
      <c r="B414" s="183">
        <v>0.57550925925925933</v>
      </c>
      <c r="C414" s="184" t="s">
        <v>73</v>
      </c>
      <c r="D414" s="184" t="s">
        <v>68</v>
      </c>
      <c r="E414" s="184" t="s">
        <v>89</v>
      </c>
      <c r="F414" s="182">
        <v>44505</v>
      </c>
      <c r="G414" s="186" t="s">
        <v>70</v>
      </c>
      <c r="H414" s="184" t="s">
        <v>71</v>
      </c>
      <c r="T414" s="184" t="s">
        <v>312</v>
      </c>
    </row>
    <row r="415" spans="1:20">
      <c r="A415" s="182">
        <v>44411</v>
      </c>
      <c r="B415" s="183">
        <v>0.48585648148148147</v>
      </c>
      <c r="C415" s="184" t="s">
        <v>73</v>
      </c>
      <c r="D415" s="184" t="s">
        <v>78</v>
      </c>
      <c r="E415" s="184" t="s">
        <v>45</v>
      </c>
      <c r="F415" s="182">
        <v>44450</v>
      </c>
      <c r="G415" s="186" t="s">
        <v>94</v>
      </c>
      <c r="H415" s="184" t="s">
        <v>84</v>
      </c>
    </row>
    <row r="416" spans="1:20">
      <c r="A416" s="182">
        <v>44411</v>
      </c>
      <c r="B416" s="183">
        <v>0.6919791666666667</v>
      </c>
      <c r="C416" s="184" t="s">
        <v>73</v>
      </c>
      <c r="D416" s="184" t="s">
        <v>91</v>
      </c>
      <c r="E416" s="184" t="s">
        <v>96</v>
      </c>
      <c r="F416" s="182">
        <v>44452</v>
      </c>
      <c r="G416" s="186" t="s">
        <v>114</v>
      </c>
      <c r="H416" s="184" t="s">
        <v>218</v>
      </c>
    </row>
    <row r="417" spans="1:20">
      <c r="A417" s="182">
        <v>44411</v>
      </c>
      <c r="B417" s="183">
        <v>0.74373842592592598</v>
      </c>
      <c r="C417" s="184" t="s">
        <v>67</v>
      </c>
      <c r="D417" s="184" t="s">
        <v>68</v>
      </c>
      <c r="E417" s="184" t="s">
        <v>96</v>
      </c>
      <c r="F417" s="182">
        <v>44452</v>
      </c>
      <c r="G417" s="186" t="s">
        <v>94</v>
      </c>
      <c r="H417" s="184" t="s">
        <v>308</v>
      </c>
      <c r="T417" s="184" t="s">
        <v>585</v>
      </c>
    </row>
    <row r="418" spans="1:20">
      <c r="A418" s="182">
        <v>44412</v>
      </c>
      <c r="B418" s="183">
        <v>0.44432870370370375</v>
      </c>
      <c r="C418" s="184" t="s">
        <v>67</v>
      </c>
      <c r="D418" s="184" t="s">
        <v>68</v>
      </c>
      <c r="E418" s="184" t="s">
        <v>96</v>
      </c>
      <c r="F418" s="182">
        <v>44452</v>
      </c>
      <c r="G418" s="186" t="s">
        <v>114</v>
      </c>
      <c r="H418" s="184" t="s">
        <v>206</v>
      </c>
      <c r="T418" s="184" t="s">
        <v>501</v>
      </c>
    </row>
    <row r="419" spans="1:20">
      <c r="A419" s="182">
        <v>44414</v>
      </c>
      <c r="B419" s="183">
        <v>0.42584490740740738</v>
      </c>
      <c r="C419" s="184" t="s">
        <v>73</v>
      </c>
      <c r="D419" s="184" t="s">
        <v>68</v>
      </c>
      <c r="E419" s="184" t="s">
        <v>96</v>
      </c>
      <c r="F419" s="182">
        <v>44508</v>
      </c>
      <c r="G419" s="186" t="s">
        <v>94</v>
      </c>
      <c r="H419" s="184" t="s">
        <v>209</v>
      </c>
      <c r="T419" s="184" t="s">
        <v>586</v>
      </c>
    </row>
    <row r="420" spans="1:20">
      <c r="A420" s="182">
        <v>44414</v>
      </c>
      <c r="B420" s="183">
        <v>0.4383333333333333</v>
      </c>
      <c r="C420" s="184" t="s">
        <v>73</v>
      </c>
      <c r="D420" s="184" t="s">
        <v>68</v>
      </c>
      <c r="E420" s="184" t="s">
        <v>96</v>
      </c>
      <c r="F420" s="182">
        <v>44508</v>
      </c>
      <c r="G420" s="186" t="s">
        <v>94</v>
      </c>
      <c r="H420" s="184" t="s">
        <v>272</v>
      </c>
      <c r="T420" s="184" t="s">
        <v>587</v>
      </c>
    </row>
    <row r="421" spans="1:20">
      <c r="A421" s="182">
        <v>44414</v>
      </c>
      <c r="B421" s="183">
        <v>0.61929398148148151</v>
      </c>
      <c r="C421" s="184" t="s">
        <v>73</v>
      </c>
      <c r="D421" s="184" t="s">
        <v>68</v>
      </c>
      <c r="E421" s="184" t="s">
        <v>69</v>
      </c>
      <c r="F421" s="182">
        <v>44456</v>
      </c>
      <c r="G421" s="186" t="s">
        <v>94</v>
      </c>
      <c r="H421" s="184" t="s">
        <v>322</v>
      </c>
      <c r="T421" s="184" t="s">
        <v>587</v>
      </c>
    </row>
    <row r="422" spans="1:20">
      <c r="A422" s="182">
        <v>44414</v>
      </c>
      <c r="B422" s="183">
        <v>0.61984953703703705</v>
      </c>
      <c r="C422" s="184" t="s">
        <v>73</v>
      </c>
      <c r="D422" s="184" t="s">
        <v>68</v>
      </c>
      <c r="E422" s="184" t="s">
        <v>69</v>
      </c>
      <c r="F422" s="182">
        <v>44533</v>
      </c>
      <c r="G422" s="186" t="s">
        <v>70</v>
      </c>
      <c r="H422" s="184" t="s">
        <v>71</v>
      </c>
      <c r="T422" s="184" t="s">
        <v>587</v>
      </c>
    </row>
    <row r="423" spans="1:20">
      <c r="A423" s="182">
        <v>44414</v>
      </c>
      <c r="B423" s="183">
        <v>0.62030092592592589</v>
      </c>
      <c r="C423" s="184" t="s">
        <v>73</v>
      </c>
      <c r="D423" s="184" t="s">
        <v>68</v>
      </c>
      <c r="E423" s="184" t="s">
        <v>69</v>
      </c>
      <c r="F423" s="182">
        <v>44610</v>
      </c>
      <c r="G423" s="186" t="s">
        <v>70</v>
      </c>
      <c r="H423" s="184" t="s">
        <v>71</v>
      </c>
      <c r="T423" s="184" t="s">
        <v>587</v>
      </c>
    </row>
    <row r="424" spans="1:20">
      <c r="A424" s="182">
        <v>44414</v>
      </c>
      <c r="B424" s="183">
        <v>0.69499999999999995</v>
      </c>
      <c r="C424" s="184" t="s">
        <v>73</v>
      </c>
      <c r="D424" s="184" t="s">
        <v>68</v>
      </c>
      <c r="E424" s="184" t="s">
        <v>85</v>
      </c>
      <c r="F424" s="182">
        <v>44502</v>
      </c>
      <c r="G424" s="186" t="s">
        <v>94</v>
      </c>
      <c r="H424" s="184" t="s">
        <v>103</v>
      </c>
      <c r="T424" s="184" t="s">
        <v>540</v>
      </c>
    </row>
    <row r="425" spans="1:20">
      <c r="A425" s="182">
        <v>44414</v>
      </c>
      <c r="B425" s="183">
        <v>0.69675925925925919</v>
      </c>
      <c r="C425" s="184" t="s">
        <v>73</v>
      </c>
      <c r="D425" s="184" t="s">
        <v>91</v>
      </c>
      <c r="E425" s="184" t="s">
        <v>45</v>
      </c>
      <c r="F425" s="182">
        <v>44526</v>
      </c>
      <c r="G425" s="186" t="s">
        <v>70</v>
      </c>
      <c r="H425" s="184" t="s">
        <v>93</v>
      </c>
    </row>
    <row r="426" spans="1:20">
      <c r="A426" s="182">
        <v>44414</v>
      </c>
      <c r="B426" s="183">
        <v>0.69717592592592592</v>
      </c>
      <c r="C426" s="184" t="s">
        <v>73</v>
      </c>
      <c r="D426" s="184" t="s">
        <v>91</v>
      </c>
      <c r="E426" s="184" t="s">
        <v>19</v>
      </c>
      <c r="F426" s="182">
        <v>44504</v>
      </c>
      <c r="G426" s="186" t="s">
        <v>99</v>
      </c>
      <c r="H426" s="184" t="s">
        <v>92</v>
      </c>
    </row>
    <row r="427" spans="1:20">
      <c r="A427" s="182">
        <v>44414</v>
      </c>
      <c r="B427" s="183">
        <v>0.69728009259259249</v>
      </c>
      <c r="C427" s="184" t="s">
        <v>73</v>
      </c>
      <c r="D427" s="184" t="s">
        <v>91</v>
      </c>
      <c r="E427" s="184" t="s">
        <v>19</v>
      </c>
      <c r="F427" s="182">
        <v>44504</v>
      </c>
      <c r="G427" s="186" t="s">
        <v>75</v>
      </c>
      <c r="H427" s="184" t="s">
        <v>285</v>
      </c>
    </row>
    <row r="428" spans="1:20">
      <c r="A428" s="182">
        <v>44418</v>
      </c>
      <c r="B428" s="183">
        <v>0.38951388888888888</v>
      </c>
      <c r="C428" s="184" t="s">
        <v>67</v>
      </c>
      <c r="D428" s="184" t="s">
        <v>68</v>
      </c>
      <c r="E428" s="184" t="s">
        <v>95</v>
      </c>
      <c r="F428" s="182">
        <v>44476</v>
      </c>
      <c r="G428" s="186" t="s">
        <v>99</v>
      </c>
      <c r="H428" s="184" t="s">
        <v>87</v>
      </c>
      <c r="T428" s="184" t="s">
        <v>588</v>
      </c>
    </row>
    <row r="429" spans="1:20">
      <c r="A429" s="182">
        <v>44418</v>
      </c>
      <c r="B429" s="183">
        <v>0.49077546296296298</v>
      </c>
      <c r="C429" s="184" t="s">
        <v>73</v>
      </c>
      <c r="D429" s="184" t="s">
        <v>68</v>
      </c>
      <c r="E429" s="184" t="s">
        <v>19</v>
      </c>
      <c r="F429" s="182">
        <v>44504</v>
      </c>
      <c r="G429" s="186" t="s">
        <v>114</v>
      </c>
      <c r="H429" s="184" t="s">
        <v>103</v>
      </c>
      <c r="T429" s="184" t="s">
        <v>589</v>
      </c>
    </row>
    <row r="430" spans="1:20">
      <c r="A430" s="182">
        <v>44419</v>
      </c>
      <c r="B430" s="183">
        <v>0.4576736111111111</v>
      </c>
      <c r="C430" s="184" t="s">
        <v>73</v>
      </c>
      <c r="D430" s="184" t="s">
        <v>68</v>
      </c>
      <c r="E430" s="184" t="s">
        <v>204</v>
      </c>
      <c r="F430" s="182">
        <v>44470</v>
      </c>
      <c r="G430" s="186" t="s">
        <v>94</v>
      </c>
      <c r="H430" s="184" t="s">
        <v>103</v>
      </c>
      <c r="T430" s="184" t="s">
        <v>590</v>
      </c>
    </row>
    <row r="431" spans="1:20">
      <c r="A431" s="182">
        <v>44419</v>
      </c>
      <c r="B431" s="183">
        <v>0.55810185185185179</v>
      </c>
      <c r="C431" s="184" t="s">
        <v>73</v>
      </c>
      <c r="D431" s="184" t="s">
        <v>68</v>
      </c>
      <c r="E431" s="184" t="s">
        <v>96</v>
      </c>
      <c r="F431" s="182">
        <v>44452</v>
      </c>
      <c r="G431" s="186" t="s">
        <v>94</v>
      </c>
      <c r="H431" s="184" t="s">
        <v>209</v>
      </c>
      <c r="T431" s="184" t="s">
        <v>591</v>
      </c>
    </row>
    <row r="432" spans="1:20">
      <c r="A432" s="182">
        <v>44419</v>
      </c>
      <c r="B432" s="183">
        <v>0.5644675925925926</v>
      </c>
      <c r="C432" s="184" t="s">
        <v>67</v>
      </c>
      <c r="D432" s="184" t="s">
        <v>68</v>
      </c>
      <c r="E432" s="184" t="s">
        <v>96</v>
      </c>
      <c r="F432" s="182">
        <v>44452</v>
      </c>
      <c r="G432" s="186" t="s">
        <v>114</v>
      </c>
      <c r="H432" s="184" t="s">
        <v>213</v>
      </c>
      <c r="T432" s="184" t="s">
        <v>592</v>
      </c>
    </row>
    <row r="433" spans="1:20">
      <c r="A433" s="182">
        <v>44419</v>
      </c>
      <c r="B433" s="183">
        <v>0.56487268518518519</v>
      </c>
      <c r="C433" s="184" t="s">
        <v>67</v>
      </c>
      <c r="D433" s="184" t="s">
        <v>68</v>
      </c>
      <c r="E433" s="184" t="s">
        <v>96</v>
      </c>
      <c r="F433" s="182">
        <v>44452</v>
      </c>
      <c r="G433" s="186" t="s">
        <v>94</v>
      </c>
      <c r="H433" s="184" t="s">
        <v>225</v>
      </c>
      <c r="T433" s="184" t="s">
        <v>593</v>
      </c>
    </row>
    <row r="434" spans="1:20">
      <c r="A434" s="182">
        <v>44419</v>
      </c>
      <c r="B434" s="183">
        <v>0.56589120370370372</v>
      </c>
      <c r="C434" s="184" t="s">
        <v>67</v>
      </c>
      <c r="D434" s="184" t="s">
        <v>68</v>
      </c>
      <c r="E434" s="184" t="s">
        <v>96</v>
      </c>
      <c r="F434" s="182">
        <v>44508</v>
      </c>
      <c r="G434" s="186" t="s">
        <v>114</v>
      </c>
      <c r="H434" s="184" t="s">
        <v>225</v>
      </c>
      <c r="T434" s="184" t="s">
        <v>592</v>
      </c>
    </row>
    <row r="435" spans="1:20">
      <c r="A435" s="182">
        <v>44419</v>
      </c>
      <c r="B435" s="183">
        <v>0.5843518518518519</v>
      </c>
      <c r="C435" s="184" t="s">
        <v>73</v>
      </c>
      <c r="D435" s="184" t="s">
        <v>68</v>
      </c>
      <c r="E435" s="184" t="s">
        <v>96</v>
      </c>
      <c r="F435" s="182">
        <v>44452</v>
      </c>
      <c r="G435" s="186" t="s">
        <v>94</v>
      </c>
      <c r="H435" s="184" t="s">
        <v>231</v>
      </c>
      <c r="T435" s="184" t="s">
        <v>554</v>
      </c>
    </row>
    <row r="436" spans="1:20">
      <c r="A436" s="182">
        <v>44419</v>
      </c>
      <c r="B436" s="183">
        <v>0.61634259259259261</v>
      </c>
      <c r="C436" s="184" t="s">
        <v>67</v>
      </c>
      <c r="D436" s="184" t="s">
        <v>68</v>
      </c>
      <c r="E436" s="184" t="s">
        <v>96</v>
      </c>
      <c r="F436" s="182">
        <v>44452</v>
      </c>
      <c r="G436" s="186" t="s">
        <v>99</v>
      </c>
      <c r="H436" s="184" t="s">
        <v>225</v>
      </c>
      <c r="T436" s="184" t="s">
        <v>591</v>
      </c>
    </row>
    <row r="437" spans="1:20">
      <c r="A437" s="182">
        <v>44424</v>
      </c>
      <c r="B437" s="183">
        <v>0.38428240740740738</v>
      </c>
      <c r="C437" s="184" t="s">
        <v>67</v>
      </c>
      <c r="D437" s="184" t="s">
        <v>68</v>
      </c>
      <c r="E437" s="184" t="s">
        <v>124</v>
      </c>
      <c r="F437" s="182">
        <v>44491</v>
      </c>
      <c r="G437" s="186" t="s">
        <v>94</v>
      </c>
      <c r="H437" s="184" t="s">
        <v>600</v>
      </c>
      <c r="T437" s="184" t="s">
        <v>431</v>
      </c>
    </row>
    <row r="438" spans="1:20">
      <c r="A438" s="182">
        <v>44424</v>
      </c>
      <c r="B438" s="183">
        <v>0.38751157407407405</v>
      </c>
      <c r="C438" s="184" t="s">
        <v>67</v>
      </c>
      <c r="D438" s="184" t="s">
        <v>68</v>
      </c>
      <c r="E438" s="184" t="s">
        <v>96</v>
      </c>
      <c r="F438" s="182">
        <v>44508</v>
      </c>
      <c r="G438" s="186" t="s">
        <v>70</v>
      </c>
      <c r="H438" s="184" t="s">
        <v>231</v>
      </c>
      <c r="T438" s="184" t="s">
        <v>431</v>
      </c>
    </row>
    <row r="439" spans="1:20">
      <c r="A439" s="182">
        <v>44425</v>
      </c>
      <c r="B439" s="183">
        <v>0.59495370370370371</v>
      </c>
      <c r="C439" s="184" t="s">
        <v>67</v>
      </c>
      <c r="D439" s="184" t="s">
        <v>68</v>
      </c>
      <c r="E439" s="184" t="s">
        <v>96</v>
      </c>
      <c r="F439" s="182">
        <v>44452</v>
      </c>
      <c r="G439" s="186" t="s">
        <v>94</v>
      </c>
      <c r="H439" s="184" t="s">
        <v>231</v>
      </c>
      <c r="T439" s="184" t="s">
        <v>456</v>
      </c>
    </row>
    <row r="440" spans="1:20">
      <c r="A440" s="182">
        <v>44425</v>
      </c>
      <c r="B440" s="183">
        <v>0.60063657407407411</v>
      </c>
      <c r="C440" s="184" t="s">
        <v>67</v>
      </c>
      <c r="D440" s="184" t="s">
        <v>68</v>
      </c>
      <c r="E440" s="184" t="s">
        <v>96</v>
      </c>
      <c r="F440" s="182">
        <v>44452</v>
      </c>
      <c r="G440" s="186" t="s">
        <v>99</v>
      </c>
      <c r="H440" s="184" t="s">
        <v>225</v>
      </c>
      <c r="T440" s="184" t="s">
        <v>592</v>
      </c>
    </row>
    <row r="441" spans="1:20">
      <c r="A441" s="182">
        <v>44426</v>
      </c>
      <c r="B441" s="183">
        <v>0.48359953703703701</v>
      </c>
      <c r="C441" s="184" t="s">
        <v>73</v>
      </c>
      <c r="D441" s="184" t="s">
        <v>91</v>
      </c>
      <c r="E441" s="184" t="s">
        <v>19</v>
      </c>
      <c r="F441" s="182">
        <v>44504</v>
      </c>
      <c r="G441" s="186" t="s">
        <v>75</v>
      </c>
      <c r="H441" s="184" t="s">
        <v>229</v>
      </c>
    </row>
    <row r="442" spans="1:20">
      <c r="A442" s="182">
        <v>44426</v>
      </c>
      <c r="B442" s="183">
        <v>0.50778935185185181</v>
      </c>
      <c r="C442" s="184" t="s">
        <v>73</v>
      </c>
      <c r="D442" s="184" t="s">
        <v>68</v>
      </c>
      <c r="E442" s="184" t="s">
        <v>96</v>
      </c>
      <c r="F442" s="182">
        <v>44452</v>
      </c>
      <c r="G442" s="186" t="s">
        <v>94</v>
      </c>
      <c r="H442" s="184" t="s">
        <v>231</v>
      </c>
      <c r="T442" s="184" t="s">
        <v>602</v>
      </c>
    </row>
    <row r="443" spans="1:20">
      <c r="A443" s="182">
        <v>44427</v>
      </c>
      <c r="B443" s="183">
        <v>0.49224537037037036</v>
      </c>
      <c r="C443" s="184" t="s">
        <v>67</v>
      </c>
      <c r="D443" s="184" t="s">
        <v>68</v>
      </c>
      <c r="E443" s="184" t="s">
        <v>96</v>
      </c>
      <c r="F443" s="182">
        <v>44452</v>
      </c>
      <c r="G443" s="186" t="s">
        <v>94</v>
      </c>
      <c r="H443" s="184" t="s">
        <v>239</v>
      </c>
      <c r="T443" s="184" t="s">
        <v>603</v>
      </c>
    </row>
    <row r="444" spans="1:20">
      <c r="A444" s="182">
        <v>44427</v>
      </c>
      <c r="B444" s="183">
        <v>0.58298611111111109</v>
      </c>
      <c r="C444" s="184" t="s">
        <v>67</v>
      </c>
      <c r="D444" s="184" t="s">
        <v>91</v>
      </c>
      <c r="E444" s="184" t="s">
        <v>96</v>
      </c>
      <c r="F444" s="182">
        <v>44508</v>
      </c>
      <c r="G444" s="186" t="s">
        <v>75</v>
      </c>
      <c r="H444" s="184" t="s">
        <v>92</v>
      </c>
    </row>
    <row r="445" spans="1:20">
      <c r="A445" s="182">
        <v>44427</v>
      </c>
      <c r="B445" s="183">
        <v>0.70526620370370363</v>
      </c>
      <c r="C445" s="184" t="s">
        <v>67</v>
      </c>
      <c r="D445" s="184" t="s">
        <v>68</v>
      </c>
      <c r="E445" s="184" t="s">
        <v>96</v>
      </c>
      <c r="F445" s="182">
        <v>44452</v>
      </c>
      <c r="G445" s="186" t="s">
        <v>94</v>
      </c>
      <c r="H445" s="184" t="s">
        <v>241</v>
      </c>
      <c r="T445" s="184" t="s">
        <v>420</v>
      </c>
    </row>
    <row r="446" spans="1:20">
      <c r="A446" s="182">
        <v>44427</v>
      </c>
      <c r="B446" s="183">
        <v>0.70802083333333332</v>
      </c>
      <c r="C446" s="184" t="s">
        <v>67</v>
      </c>
      <c r="D446" s="184" t="s">
        <v>78</v>
      </c>
      <c r="E446" s="184" t="s">
        <v>96</v>
      </c>
      <c r="F446" s="182">
        <v>44508</v>
      </c>
      <c r="G446" s="186" t="s">
        <v>75</v>
      </c>
      <c r="H446" s="184" t="s">
        <v>106</v>
      </c>
    </row>
    <row r="447" spans="1:20">
      <c r="A447" s="182">
        <v>44428</v>
      </c>
      <c r="B447" s="183">
        <v>0.40229166666666666</v>
      </c>
      <c r="C447" s="184" t="s">
        <v>73</v>
      </c>
      <c r="D447" s="184" t="s">
        <v>68</v>
      </c>
      <c r="E447" s="184" t="s">
        <v>96</v>
      </c>
      <c r="F447" s="182">
        <v>44452</v>
      </c>
      <c r="G447" s="186" t="s">
        <v>94</v>
      </c>
      <c r="H447" s="184" t="s">
        <v>245</v>
      </c>
      <c r="T447" s="184" t="s">
        <v>604</v>
      </c>
    </row>
    <row r="448" spans="1:20">
      <c r="A448" s="182">
        <v>44428</v>
      </c>
      <c r="B448" s="183">
        <v>0.56513888888888886</v>
      </c>
      <c r="C448" s="184" t="s">
        <v>67</v>
      </c>
      <c r="D448" s="184" t="s">
        <v>68</v>
      </c>
      <c r="E448" s="184" t="s">
        <v>96</v>
      </c>
      <c r="F448" s="182">
        <v>44452</v>
      </c>
      <c r="G448" s="186" t="s">
        <v>99</v>
      </c>
      <c r="H448" s="184" t="s">
        <v>241</v>
      </c>
      <c r="T448" s="184" t="s">
        <v>605</v>
      </c>
    </row>
    <row r="449" spans="1:20">
      <c r="A449" s="182">
        <v>44428</v>
      </c>
      <c r="B449" s="183">
        <v>0.6398611111111111</v>
      </c>
      <c r="C449" s="184" t="s">
        <v>73</v>
      </c>
      <c r="D449" s="184" t="s">
        <v>68</v>
      </c>
      <c r="E449" s="184" t="s">
        <v>45</v>
      </c>
      <c r="F449" s="182">
        <v>44450</v>
      </c>
      <c r="G449" s="186" t="s">
        <v>114</v>
      </c>
      <c r="H449" s="184" t="s">
        <v>103</v>
      </c>
      <c r="T449" s="184" t="s">
        <v>110</v>
      </c>
    </row>
    <row r="450" spans="1:20">
      <c r="A450" s="182">
        <v>44428</v>
      </c>
      <c r="B450" s="183">
        <v>0.64200231481481485</v>
      </c>
      <c r="C450" s="184" t="s">
        <v>73</v>
      </c>
      <c r="D450" s="184" t="s">
        <v>68</v>
      </c>
      <c r="E450" s="184" t="s">
        <v>19</v>
      </c>
      <c r="F450" s="182">
        <v>44504</v>
      </c>
      <c r="G450" s="186" t="s">
        <v>114</v>
      </c>
      <c r="H450" s="184" t="s">
        <v>117</v>
      </c>
      <c r="T450" s="184" t="s">
        <v>110</v>
      </c>
    </row>
    <row r="451" spans="1:20">
      <c r="A451" s="182">
        <v>44428</v>
      </c>
      <c r="B451" s="183">
        <v>0.65125</v>
      </c>
      <c r="C451" s="184" t="s">
        <v>67</v>
      </c>
      <c r="D451" s="184" t="s">
        <v>68</v>
      </c>
      <c r="E451" s="184" t="s">
        <v>95</v>
      </c>
      <c r="F451" s="182">
        <v>44476</v>
      </c>
      <c r="G451" s="186" t="s">
        <v>178</v>
      </c>
      <c r="H451" s="184" t="s">
        <v>259</v>
      </c>
      <c r="T451" s="184" t="s">
        <v>546</v>
      </c>
    </row>
    <row r="452" spans="1:20">
      <c r="A452" s="182">
        <v>44428</v>
      </c>
      <c r="B452" s="183">
        <v>0.68153935185185188</v>
      </c>
      <c r="C452" s="184" t="s">
        <v>67</v>
      </c>
      <c r="D452" s="184" t="s">
        <v>78</v>
      </c>
      <c r="E452" s="184" t="s">
        <v>69</v>
      </c>
      <c r="F452" s="182">
        <v>44456</v>
      </c>
      <c r="G452" s="186" t="s">
        <v>94</v>
      </c>
      <c r="H452" s="184" t="s">
        <v>106</v>
      </c>
    </row>
    <row r="453" spans="1:20">
      <c r="A453" s="182">
        <v>44431</v>
      </c>
      <c r="B453" s="183">
        <v>0.45157407407407407</v>
      </c>
      <c r="C453" s="184" t="s">
        <v>67</v>
      </c>
      <c r="D453" s="184" t="s">
        <v>91</v>
      </c>
      <c r="E453" s="184" t="s">
        <v>96</v>
      </c>
      <c r="F453" s="182">
        <v>44452</v>
      </c>
      <c r="G453" s="186" t="s">
        <v>99</v>
      </c>
      <c r="H453" s="184" t="s">
        <v>189</v>
      </c>
    </row>
    <row r="454" spans="1:20">
      <c r="A454" s="182">
        <v>44431</v>
      </c>
      <c r="B454" s="183">
        <v>0.54346064814814821</v>
      </c>
      <c r="C454" s="184" t="s">
        <v>67</v>
      </c>
      <c r="D454" s="184" t="s">
        <v>68</v>
      </c>
      <c r="E454" s="184" t="s">
        <v>96</v>
      </c>
      <c r="F454" s="182">
        <v>44452</v>
      </c>
      <c r="G454" s="186" t="s">
        <v>94</v>
      </c>
      <c r="H454" s="184" t="s">
        <v>245</v>
      </c>
      <c r="T454" s="184" t="s">
        <v>603</v>
      </c>
    </row>
    <row r="455" spans="1:20">
      <c r="A455" s="182">
        <v>44431</v>
      </c>
      <c r="B455" s="183">
        <v>0.5464930555555555</v>
      </c>
      <c r="C455" s="184" t="s">
        <v>67</v>
      </c>
      <c r="D455" s="184" t="s">
        <v>91</v>
      </c>
      <c r="E455" s="184" t="s">
        <v>96</v>
      </c>
      <c r="F455" s="182">
        <v>44452</v>
      </c>
      <c r="G455" s="186" t="s">
        <v>94</v>
      </c>
      <c r="H455" s="184" t="s">
        <v>218</v>
      </c>
    </row>
    <row r="456" spans="1:20">
      <c r="A456" s="182">
        <v>44432</v>
      </c>
      <c r="B456" s="183">
        <v>0.69587962962962957</v>
      </c>
      <c r="C456" s="184" t="s">
        <v>73</v>
      </c>
      <c r="D456" s="184" t="s">
        <v>78</v>
      </c>
      <c r="E456" s="184" t="s">
        <v>19</v>
      </c>
      <c r="F456" s="182">
        <v>44504</v>
      </c>
      <c r="G456" s="186" t="s">
        <v>94</v>
      </c>
      <c r="H456" s="184" t="s">
        <v>113</v>
      </c>
    </row>
    <row r="457" spans="1:20">
      <c r="A457" s="182">
        <v>44432</v>
      </c>
      <c r="B457" s="183">
        <v>0.69618055555555547</v>
      </c>
      <c r="C457" s="184" t="s">
        <v>73</v>
      </c>
      <c r="D457" s="184" t="s">
        <v>78</v>
      </c>
      <c r="E457" s="184" t="s">
        <v>45</v>
      </c>
      <c r="F457" s="182">
        <v>44526</v>
      </c>
      <c r="G457" s="186" t="s">
        <v>94</v>
      </c>
      <c r="H457" s="184" t="s">
        <v>107</v>
      </c>
    </row>
    <row r="458" spans="1:20">
      <c r="A458" s="182">
        <v>44433</v>
      </c>
      <c r="B458" s="183">
        <v>0.66700231481481476</v>
      </c>
      <c r="C458" s="184" t="s">
        <v>67</v>
      </c>
      <c r="D458" s="184" t="s">
        <v>68</v>
      </c>
      <c r="E458" s="184" t="s">
        <v>96</v>
      </c>
      <c r="F458" s="182">
        <v>44452</v>
      </c>
      <c r="G458" s="186" t="s">
        <v>99</v>
      </c>
      <c r="H458" s="184" t="s">
        <v>241</v>
      </c>
      <c r="T458" s="184" t="s">
        <v>234</v>
      </c>
    </row>
    <row r="459" spans="1:20">
      <c r="A459" s="182">
        <v>44433</v>
      </c>
      <c r="B459" s="183">
        <v>0.66734953703703714</v>
      </c>
      <c r="C459" s="184" t="s">
        <v>67</v>
      </c>
      <c r="D459" s="184" t="s">
        <v>68</v>
      </c>
      <c r="E459" s="184" t="s">
        <v>96</v>
      </c>
      <c r="F459" s="182">
        <v>44508</v>
      </c>
      <c r="G459" s="186" t="s">
        <v>94</v>
      </c>
      <c r="H459" s="184" t="s">
        <v>239</v>
      </c>
      <c r="T459" s="184" t="s">
        <v>234</v>
      </c>
    </row>
    <row r="460" spans="1:20">
      <c r="A460" s="182">
        <v>44434</v>
      </c>
      <c r="B460" s="183">
        <v>0.57861111111111108</v>
      </c>
      <c r="C460" s="184" t="s">
        <v>67</v>
      </c>
      <c r="D460" s="184" t="s">
        <v>78</v>
      </c>
      <c r="E460" s="184" t="s">
        <v>45</v>
      </c>
      <c r="F460" s="182">
        <v>44611</v>
      </c>
      <c r="G460" s="186" t="s">
        <v>70</v>
      </c>
      <c r="H460" s="184" t="s">
        <v>86</v>
      </c>
    </row>
    <row r="461" spans="1:20">
      <c r="A461" s="182">
        <v>44434</v>
      </c>
      <c r="B461" s="183">
        <v>0.7072222222222222</v>
      </c>
      <c r="C461" s="184" t="s">
        <v>67</v>
      </c>
      <c r="D461" s="184" t="s">
        <v>78</v>
      </c>
      <c r="E461" s="184" t="s">
        <v>96</v>
      </c>
      <c r="F461" s="182">
        <v>44452</v>
      </c>
      <c r="G461" s="186" t="s">
        <v>99</v>
      </c>
      <c r="H461" s="184" t="s">
        <v>265</v>
      </c>
    </row>
    <row r="462" spans="1:20">
      <c r="A462" s="182">
        <v>44435</v>
      </c>
      <c r="B462" s="183">
        <v>0.39467592592592587</v>
      </c>
      <c r="C462" s="184" t="s">
        <v>67</v>
      </c>
      <c r="D462" s="184" t="s">
        <v>91</v>
      </c>
      <c r="E462" s="184" t="s">
        <v>45</v>
      </c>
      <c r="F462" s="182">
        <v>44526</v>
      </c>
      <c r="G462" s="186" t="s">
        <v>94</v>
      </c>
      <c r="H462" s="184" t="s">
        <v>92</v>
      </c>
    </row>
    <row r="463" spans="1:20">
      <c r="A463" s="182">
        <v>44435</v>
      </c>
      <c r="B463" s="183">
        <v>0.60072916666666665</v>
      </c>
      <c r="C463" s="184" t="s">
        <v>67</v>
      </c>
      <c r="D463" s="184" t="s">
        <v>68</v>
      </c>
      <c r="E463" s="184" t="s">
        <v>96</v>
      </c>
      <c r="F463" s="182">
        <v>44452</v>
      </c>
      <c r="G463" s="186" t="s">
        <v>94</v>
      </c>
      <c r="H463" s="184" t="s">
        <v>245</v>
      </c>
      <c r="T463" s="184" t="s">
        <v>606</v>
      </c>
    </row>
    <row r="464" spans="1:20">
      <c r="A464" s="182">
        <v>44435</v>
      </c>
      <c r="B464" s="183">
        <v>0.70787037037037026</v>
      </c>
      <c r="C464" s="184" t="s">
        <v>67</v>
      </c>
      <c r="D464" s="184" t="s">
        <v>78</v>
      </c>
      <c r="E464" s="184" t="s">
        <v>19</v>
      </c>
      <c r="F464" s="182">
        <v>44504</v>
      </c>
      <c r="G464" s="186" t="s">
        <v>94</v>
      </c>
      <c r="H464" s="184" t="s">
        <v>265</v>
      </c>
    </row>
    <row r="465" spans="1:20">
      <c r="A465" s="182">
        <v>44438</v>
      </c>
      <c r="B465" s="183">
        <v>0.44231481481481483</v>
      </c>
      <c r="C465" s="184" t="s">
        <v>67</v>
      </c>
      <c r="D465" s="184" t="s">
        <v>91</v>
      </c>
      <c r="E465" s="184" t="s">
        <v>19</v>
      </c>
      <c r="F465" s="182">
        <v>44504</v>
      </c>
      <c r="G465" s="186" t="s">
        <v>94</v>
      </c>
      <c r="H465" s="184" t="s">
        <v>189</v>
      </c>
    </row>
    <row r="466" spans="1:20">
      <c r="A466" s="182">
        <v>44438</v>
      </c>
      <c r="B466" s="183">
        <v>0.44248842592592591</v>
      </c>
      <c r="C466" s="184" t="s">
        <v>67</v>
      </c>
      <c r="D466" s="184" t="s">
        <v>91</v>
      </c>
      <c r="E466" s="184" t="s">
        <v>45</v>
      </c>
      <c r="F466" s="182">
        <v>44526</v>
      </c>
      <c r="G466" s="186" t="s">
        <v>94</v>
      </c>
      <c r="H466" s="184" t="s">
        <v>227</v>
      </c>
    </row>
    <row r="467" spans="1:20">
      <c r="A467" s="182">
        <v>44438</v>
      </c>
      <c r="B467" s="183">
        <v>0.45375000000000004</v>
      </c>
      <c r="C467" s="184" t="s">
        <v>67</v>
      </c>
      <c r="D467" s="184" t="s">
        <v>68</v>
      </c>
      <c r="E467" s="184" t="s">
        <v>96</v>
      </c>
      <c r="F467" s="182">
        <v>44452</v>
      </c>
      <c r="G467" s="186" t="s">
        <v>94</v>
      </c>
      <c r="H467" s="184" t="s">
        <v>521</v>
      </c>
      <c r="T467" s="184" t="s">
        <v>607</v>
      </c>
    </row>
    <row r="468" spans="1:20">
      <c r="A468" s="182">
        <v>44438</v>
      </c>
      <c r="B468" s="183">
        <v>0.48167824074074073</v>
      </c>
      <c r="C468" s="184" t="s">
        <v>67</v>
      </c>
      <c r="D468" s="184" t="s">
        <v>68</v>
      </c>
      <c r="E468" s="184" t="s">
        <v>96</v>
      </c>
      <c r="F468" s="182">
        <v>44452</v>
      </c>
      <c r="G468" s="186" t="s">
        <v>99</v>
      </c>
      <c r="H468" s="184" t="s">
        <v>245</v>
      </c>
      <c r="T468" s="184" t="s">
        <v>606</v>
      </c>
    </row>
    <row r="469" spans="1:20">
      <c r="A469" s="182">
        <v>44438</v>
      </c>
      <c r="B469" s="183">
        <v>0.61028935185185185</v>
      </c>
      <c r="C469" s="184" t="s">
        <v>73</v>
      </c>
      <c r="D469" s="184" t="s">
        <v>68</v>
      </c>
      <c r="E469" s="184" t="s">
        <v>96</v>
      </c>
      <c r="F469" s="182">
        <v>44452</v>
      </c>
      <c r="G469" s="186" t="s">
        <v>99</v>
      </c>
      <c r="H469" s="184" t="s">
        <v>241</v>
      </c>
      <c r="T469" s="184" t="s">
        <v>123</v>
      </c>
    </row>
    <row r="470" spans="1:20">
      <c r="A470" s="182">
        <v>44438</v>
      </c>
      <c r="B470" s="183">
        <v>0.6974189814814814</v>
      </c>
      <c r="C470" s="184" t="s">
        <v>73</v>
      </c>
      <c r="D470" s="184" t="s">
        <v>68</v>
      </c>
      <c r="E470" s="184" t="s">
        <v>96</v>
      </c>
      <c r="F470" s="182">
        <v>44508</v>
      </c>
      <c r="G470" s="186" t="s">
        <v>94</v>
      </c>
      <c r="H470" s="184" t="s">
        <v>241</v>
      </c>
      <c r="T470" s="184" t="s">
        <v>118</v>
      </c>
    </row>
    <row r="471" spans="1:20">
      <c r="A471" s="182">
        <v>44439</v>
      </c>
      <c r="B471" s="183">
        <v>0.41466435185185185</v>
      </c>
      <c r="C471" s="184" t="s">
        <v>73</v>
      </c>
      <c r="D471" s="184" t="s">
        <v>68</v>
      </c>
      <c r="E471" s="184" t="s">
        <v>96</v>
      </c>
      <c r="F471" s="182">
        <v>44452</v>
      </c>
      <c r="G471" s="186" t="s">
        <v>94</v>
      </c>
      <c r="H471" s="184" t="s">
        <v>245</v>
      </c>
    </row>
    <row r="472" spans="1:20">
      <c r="A472" s="182">
        <v>44439</v>
      </c>
      <c r="B472" s="183">
        <v>0.51586805555555559</v>
      </c>
      <c r="C472" s="184" t="s">
        <v>73</v>
      </c>
      <c r="D472" s="184" t="s">
        <v>68</v>
      </c>
      <c r="E472" s="184" t="s">
        <v>96</v>
      </c>
      <c r="F472" s="182">
        <v>44583</v>
      </c>
      <c r="G472" s="186" t="s">
        <v>70</v>
      </c>
      <c r="H472" s="184" t="s">
        <v>71</v>
      </c>
      <c r="T472" s="184" t="s">
        <v>608</v>
      </c>
    </row>
    <row r="473" spans="1:20">
      <c r="A473" s="182">
        <v>44440</v>
      </c>
      <c r="B473" s="183">
        <v>0.38209490740740742</v>
      </c>
      <c r="C473" s="184" t="s">
        <v>67</v>
      </c>
      <c r="D473" s="184" t="s">
        <v>68</v>
      </c>
      <c r="E473" s="184" t="s">
        <v>96</v>
      </c>
      <c r="F473" s="182">
        <v>44452</v>
      </c>
      <c r="G473" s="186" t="s">
        <v>94</v>
      </c>
      <c r="H473" s="184" t="s">
        <v>521</v>
      </c>
      <c r="T473" s="184" t="s">
        <v>609</v>
      </c>
    </row>
    <row r="474" spans="1:20">
      <c r="A474" s="182">
        <v>44440</v>
      </c>
      <c r="B474" s="183">
        <v>0.56905092592592588</v>
      </c>
      <c r="C474" s="184" t="s">
        <v>73</v>
      </c>
      <c r="D474" s="184" t="s">
        <v>68</v>
      </c>
      <c r="E474" s="184" t="s">
        <v>69</v>
      </c>
      <c r="F474" s="182">
        <v>44610</v>
      </c>
      <c r="G474" s="186" t="s">
        <v>94</v>
      </c>
      <c r="H474" s="184" t="s">
        <v>76</v>
      </c>
      <c r="T474" s="184" t="s">
        <v>610</v>
      </c>
    </row>
    <row r="475" spans="1:20">
      <c r="A475" s="182">
        <v>44440</v>
      </c>
      <c r="B475" s="183">
        <v>0.6291782407407408</v>
      </c>
      <c r="C475" s="184" t="s">
        <v>73</v>
      </c>
      <c r="D475" s="184" t="s">
        <v>68</v>
      </c>
      <c r="E475" s="184" t="s">
        <v>45</v>
      </c>
      <c r="F475" s="182">
        <v>44450</v>
      </c>
      <c r="G475" s="186" t="s">
        <v>115</v>
      </c>
      <c r="H475" s="184" t="s">
        <v>87</v>
      </c>
      <c r="T475" s="184" t="s">
        <v>110</v>
      </c>
    </row>
    <row r="476" spans="1:20">
      <c r="A476" s="182">
        <v>44440</v>
      </c>
      <c r="B476" s="183">
        <v>0.63056712962962969</v>
      </c>
      <c r="C476" s="184" t="s">
        <v>73</v>
      </c>
      <c r="D476" s="184" t="s">
        <v>68</v>
      </c>
      <c r="E476" s="184" t="s">
        <v>19</v>
      </c>
      <c r="F476" s="182">
        <v>44504</v>
      </c>
      <c r="G476" s="186" t="s">
        <v>115</v>
      </c>
      <c r="H476" s="184" t="s">
        <v>103</v>
      </c>
      <c r="T476" s="184" t="s">
        <v>110</v>
      </c>
    </row>
    <row r="477" spans="1:20">
      <c r="A477" s="182">
        <v>44440</v>
      </c>
      <c r="B477" s="183">
        <v>0.66513888888888884</v>
      </c>
      <c r="C477" s="184" t="s">
        <v>67</v>
      </c>
      <c r="D477" s="184" t="s">
        <v>78</v>
      </c>
      <c r="E477" s="184" t="s">
        <v>19</v>
      </c>
      <c r="F477" s="182">
        <v>44504</v>
      </c>
      <c r="G477" s="186" t="s">
        <v>94</v>
      </c>
      <c r="H477" s="184" t="s">
        <v>288</v>
      </c>
    </row>
    <row r="478" spans="1:20">
      <c r="A478" s="182">
        <v>44441</v>
      </c>
      <c r="B478" s="183">
        <v>0.41532407407407407</v>
      </c>
      <c r="C478" s="184" t="s">
        <v>73</v>
      </c>
      <c r="D478" s="184" t="s">
        <v>68</v>
      </c>
      <c r="E478" s="184" t="s">
        <v>85</v>
      </c>
      <c r="F478" s="182">
        <v>44502</v>
      </c>
      <c r="G478" s="186" t="s">
        <v>94</v>
      </c>
      <c r="H478" s="184" t="s">
        <v>182</v>
      </c>
      <c r="T478" s="184" t="s">
        <v>612</v>
      </c>
    </row>
    <row r="479" spans="1:20">
      <c r="A479" s="182">
        <v>44441</v>
      </c>
      <c r="B479" s="183">
        <v>0.59063657407407411</v>
      </c>
      <c r="C479" s="184" t="s">
        <v>67</v>
      </c>
      <c r="D479" s="184" t="s">
        <v>68</v>
      </c>
      <c r="E479" s="184" t="s">
        <v>96</v>
      </c>
      <c r="F479" s="182">
        <v>44508</v>
      </c>
      <c r="G479" s="186" t="s">
        <v>112</v>
      </c>
      <c r="H479" s="184" t="s">
        <v>392</v>
      </c>
      <c r="T479" s="184" t="s">
        <v>88</v>
      </c>
    </row>
    <row r="480" spans="1:20">
      <c r="A480" s="182">
        <v>44441</v>
      </c>
      <c r="B480" s="183">
        <v>0.59376157407407404</v>
      </c>
      <c r="C480" s="184" t="s">
        <v>67</v>
      </c>
      <c r="D480" s="184" t="s">
        <v>68</v>
      </c>
      <c r="E480" s="184" t="s">
        <v>96</v>
      </c>
      <c r="F480" s="182">
        <v>44508</v>
      </c>
      <c r="G480" s="186" t="s">
        <v>613</v>
      </c>
      <c r="H480" s="184" t="s">
        <v>213</v>
      </c>
      <c r="T480" s="184" t="s">
        <v>147</v>
      </c>
    </row>
    <row r="481" spans="1:20">
      <c r="A481" s="182">
        <v>44441</v>
      </c>
      <c r="B481" s="183">
        <v>0.63171296296296298</v>
      </c>
      <c r="C481" s="184" t="s">
        <v>67</v>
      </c>
      <c r="D481" s="184" t="s">
        <v>91</v>
      </c>
      <c r="E481" s="184" t="s">
        <v>96</v>
      </c>
      <c r="F481" s="182">
        <v>44452</v>
      </c>
      <c r="G481" s="186" t="s">
        <v>99</v>
      </c>
      <c r="H481" s="184" t="s">
        <v>189</v>
      </c>
    </row>
    <row r="482" spans="1:20">
      <c r="A482" s="182">
        <v>44441</v>
      </c>
      <c r="B482" s="183">
        <v>0.63185185185185189</v>
      </c>
      <c r="C482" s="184" t="s">
        <v>67</v>
      </c>
      <c r="D482" s="184" t="s">
        <v>91</v>
      </c>
      <c r="E482" s="184" t="s">
        <v>96</v>
      </c>
      <c r="F482" s="182">
        <v>44508</v>
      </c>
      <c r="G482" s="186" t="s">
        <v>94</v>
      </c>
      <c r="H482" s="184" t="s">
        <v>227</v>
      </c>
    </row>
    <row r="483" spans="1:20">
      <c r="A483" s="182">
        <v>44441</v>
      </c>
      <c r="B483" s="183">
        <v>0.63542824074074067</v>
      </c>
      <c r="C483" s="184" t="s">
        <v>67</v>
      </c>
      <c r="D483" s="184" t="s">
        <v>68</v>
      </c>
      <c r="E483" s="184" t="s">
        <v>96</v>
      </c>
      <c r="F483" s="182">
        <v>44452</v>
      </c>
      <c r="G483" s="186" t="s">
        <v>94</v>
      </c>
      <c r="H483" s="184" t="s">
        <v>392</v>
      </c>
      <c r="T483" s="184" t="s">
        <v>606</v>
      </c>
    </row>
    <row r="484" spans="1:20">
      <c r="A484" s="182">
        <v>44442</v>
      </c>
      <c r="B484" s="183">
        <v>0.6446412037037037</v>
      </c>
      <c r="C484" s="184" t="s">
        <v>73</v>
      </c>
      <c r="D484" s="184" t="s">
        <v>68</v>
      </c>
      <c r="E484" s="184" t="s">
        <v>85</v>
      </c>
      <c r="F484" s="182">
        <v>44502</v>
      </c>
      <c r="G484" s="186" t="s">
        <v>94</v>
      </c>
      <c r="H484" s="184" t="s">
        <v>117</v>
      </c>
      <c r="T484" s="184" t="s">
        <v>614</v>
      </c>
    </row>
    <row r="485" spans="1:20">
      <c r="A485" s="182">
        <v>44442</v>
      </c>
      <c r="B485" s="183">
        <v>0.67710648148148145</v>
      </c>
      <c r="C485" s="184" t="s">
        <v>73</v>
      </c>
      <c r="D485" s="184" t="s">
        <v>68</v>
      </c>
      <c r="E485" s="184" t="s">
        <v>69</v>
      </c>
      <c r="F485" s="182">
        <v>44456</v>
      </c>
      <c r="G485" s="186" t="s">
        <v>94</v>
      </c>
      <c r="H485" s="184" t="s">
        <v>185</v>
      </c>
      <c r="T485" s="184" t="s">
        <v>615</v>
      </c>
    </row>
    <row r="486" spans="1:20">
      <c r="A486" s="182">
        <v>44445</v>
      </c>
      <c r="B486" s="183">
        <v>0.38033564814814813</v>
      </c>
      <c r="C486" s="184" t="s">
        <v>67</v>
      </c>
      <c r="D486" s="184" t="s">
        <v>68</v>
      </c>
      <c r="E486" s="184" t="s">
        <v>45</v>
      </c>
      <c r="F486" s="182">
        <v>44450</v>
      </c>
      <c r="G486" s="186" t="s">
        <v>94</v>
      </c>
      <c r="H486" s="184" t="s">
        <v>101</v>
      </c>
      <c r="T486" s="184" t="s">
        <v>559</v>
      </c>
    </row>
    <row r="487" spans="1:20">
      <c r="A487" s="182">
        <v>44445</v>
      </c>
      <c r="B487" s="183">
        <v>0.43756944444444446</v>
      </c>
      <c r="C487" s="184" t="s">
        <v>67</v>
      </c>
      <c r="D487" s="184" t="s">
        <v>68</v>
      </c>
      <c r="E487" s="184" t="s">
        <v>69</v>
      </c>
      <c r="F487" s="182">
        <v>44533</v>
      </c>
      <c r="G487" s="186" t="s">
        <v>112</v>
      </c>
      <c r="H487" s="184" t="s">
        <v>101</v>
      </c>
      <c r="T487" s="184" t="s">
        <v>184</v>
      </c>
    </row>
    <row r="488" spans="1:20">
      <c r="A488" s="182">
        <v>44445</v>
      </c>
      <c r="B488" s="183">
        <v>0.43806712962962963</v>
      </c>
      <c r="C488" s="184" t="s">
        <v>67</v>
      </c>
      <c r="D488" s="184" t="s">
        <v>68</v>
      </c>
      <c r="E488" s="184" t="s">
        <v>69</v>
      </c>
      <c r="F488" s="182">
        <v>44610</v>
      </c>
      <c r="G488" s="186" t="s">
        <v>114</v>
      </c>
      <c r="H488" s="184" t="s">
        <v>101</v>
      </c>
      <c r="T488" s="184" t="s">
        <v>184</v>
      </c>
    </row>
    <row r="489" spans="1:20">
      <c r="A489" s="182">
        <v>44445</v>
      </c>
      <c r="B489" s="183">
        <v>0.58339120370370368</v>
      </c>
      <c r="C489" s="184" t="s">
        <v>67</v>
      </c>
      <c r="D489" s="184" t="s">
        <v>78</v>
      </c>
      <c r="E489" s="184" t="s">
        <v>45</v>
      </c>
      <c r="F489" s="182">
        <v>44450</v>
      </c>
      <c r="G489" s="186" t="s">
        <v>114</v>
      </c>
      <c r="H489" s="184" t="s">
        <v>280</v>
      </c>
    </row>
    <row r="490" spans="1:20">
      <c r="A490" s="182">
        <v>44445</v>
      </c>
      <c r="B490" s="183">
        <v>0.58364583333333331</v>
      </c>
      <c r="C490" s="184" t="s">
        <v>67</v>
      </c>
      <c r="D490" s="184" t="s">
        <v>78</v>
      </c>
      <c r="E490" s="184" t="s">
        <v>19</v>
      </c>
      <c r="F490" s="182">
        <v>44504</v>
      </c>
      <c r="G490" s="186" t="s">
        <v>114</v>
      </c>
      <c r="H490" s="184" t="s">
        <v>327</v>
      </c>
    </row>
    <row r="491" spans="1:20">
      <c r="A491" s="182">
        <v>44446</v>
      </c>
      <c r="B491" s="183">
        <v>0.5800925925925926</v>
      </c>
      <c r="C491" s="184" t="s">
        <v>67</v>
      </c>
      <c r="D491" s="184" t="s">
        <v>78</v>
      </c>
      <c r="E491" s="184" t="s">
        <v>19</v>
      </c>
      <c r="F491" s="182">
        <v>44504</v>
      </c>
      <c r="G491" s="186" t="s">
        <v>94</v>
      </c>
      <c r="H491" s="184" t="s">
        <v>82</v>
      </c>
    </row>
    <row r="492" spans="1:20">
      <c r="A492" s="182">
        <v>44447</v>
      </c>
      <c r="B492" s="183">
        <v>0.61553240740740744</v>
      </c>
      <c r="C492" s="184" t="s">
        <v>67</v>
      </c>
      <c r="D492" s="184" t="s">
        <v>68</v>
      </c>
      <c r="E492" s="184" t="s">
        <v>124</v>
      </c>
      <c r="F492" s="182">
        <v>44491</v>
      </c>
      <c r="G492" s="186" t="s">
        <v>99</v>
      </c>
      <c r="H492" s="184" t="s">
        <v>536</v>
      </c>
      <c r="T492" s="184" t="s">
        <v>616</v>
      </c>
    </row>
    <row r="493" spans="1:20">
      <c r="A493" s="182">
        <v>44448</v>
      </c>
      <c r="B493" s="183">
        <v>0.40763888888888888</v>
      </c>
      <c r="C493" s="184" t="s">
        <v>73</v>
      </c>
      <c r="D493" s="184" t="s">
        <v>78</v>
      </c>
      <c r="E493" s="184" t="s">
        <v>69</v>
      </c>
      <c r="F493" s="182">
        <v>44533</v>
      </c>
      <c r="G493" s="186" t="s">
        <v>105</v>
      </c>
      <c r="H493" s="184" t="s">
        <v>106</v>
      </c>
    </row>
    <row r="494" spans="1:20">
      <c r="A494" s="182">
        <v>44448</v>
      </c>
      <c r="B494" s="183">
        <v>0.41407407407407404</v>
      </c>
      <c r="C494" s="184" t="s">
        <v>73</v>
      </c>
      <c r="D494" s="184" t="s">
        <v>68</v>
      </c>
      <c r="E494" s="184" t="s">
        <v>45</v>
      </c>
      <c r="F494" s="182">
        <v>44450</v>
      </c>
      <c r="G494" s="186" t="s">
        <v>94</v>
      </c>
      <c r="H494" s="184" t="s">
        <v>103</v>
      </c>
      <c r="T494" s="184" t="s">
        <v>249</v>
      </c>
    </row>
    <row r="495" spans="1:20">
      <c r="A495" s="182">
        <v>44448</v>
      </c>
      <c r="B495" s="183">
        <v>0.54853009259259256</v>
      </c>
      <c r="C495" s="184" t="s">
        <v>73</v>
      </c>
      <c r="D495" s="184" t="s">
        <v>68</v>
      </c>
      <c r="E495" s="184" t="s">
        <v>204</v>
      </c>
      <c r="F495" s="182">
        <v>44470</v>
      </c>
      <c r="G495" s="186" t="s">
        <v>114</v>
      </c>
      <c r="H495" s="184" t="s">
        <v>117</v>
      </c>
      <c r="T495" s="184" t="s">
        <v>617</v>
      </c>
    </row>
    <row r="496" spans="1:20">
      <c r="A496" s="182">
        <v>44448</v>
      </c>
      <c r="B496" s="183">
        <v>0.54969907407407403</v>
      </c>
      <c r="C496" s="184" t="s">
        <v>73</v>
      </c>
      <c r="D496" s="184" t="s">
        <v>78</v>
      </c>
      <c r="E496" s="184" t="s">
        <v>96</v>
      </c>
      <c r="F496" s="182">
        <v>44508</v>
      </c>
      <c r="G496" s="186" t="s">
        <v>94</v>
      </c>
      <c r="H496" s="184" t="s">
        <v>113</v>
      </c>
    </row>
    <row r="497" spans="1:20">
      <c r="A497" s="182">
        <v>44448</v>
      </c>
      <c r="B497" s="183">
        <v>0.6025462962962963</v>
      </c>
      <c r="C497" s="184" t="s">
        <v>73</v>
      </c>
      <c r="D497" s="184" t="s">
        <v>68</v>
      </c>
      <c r="E497" s="184" t="s">
        <v>96</v>
      </c>
      <c r="F497" s="182">
        <v>44452</v>
      </c>
      <c r="G497" s="186" t="s">
        <v>99</v>
      </c>
      <c r="H497" s="184" t="s">
        <v>521</v>
      </c>
      <c r="T497" s="184" t="s">
        <v>583</v>
      </c>
    </row>
    <row r="498" spans="1:20">
      <c r="A498" s="182">
        <v>44448</v>
      </c>
      <c r="B498" s="183">
        <v>0.63931712962962961</v>
      </c>
      <c r="C498" s="184" t="s">
        <v>73</v>
      </c>
      <c r="D498" s="184" t="s">
        <v>68</v>
      </c>
      <c r="E498" s="184" t="s">
        <v>204</v>
      </c>
      <c r="F498" s="182">
        <v>44470</v>
      </c>
      <c r="G498" s="186" t="s">
        <v>94</v>
      </c>
      <c r="H498" s="184" t="s">
        <v>259</v>
      </c>
      <c r="T498" s="184" t="s">
        <v>203</v>
      </c>
    </row>
    <row r="499" spans="1:20">
      <c r="A499" s="182">
        <v>44449</v>
      </c>
      <c r="B499" s="183">
        <v>0.52998842592592588</v>
      </c>
      <c r="C499" s="184" t="s">
        <v>73</v>
      </c>
      <c r="D499" s="184" t="s">
        <v>68</v>
      </c>
      <c r="E499" s="184" t="s">
        <v>204</v>
      </c>
      <c r="F499" s="182">
        <v>44470</v>
      </c>
      <c r="G499" s="186" t="s">
        <v>94</v>
      </c>
      <c r="H499" s="184" t="s">
        <v>273</v>
      </c>
      <c r="T499" s="184" t="s">
        <v>618</v>
      </c>
    </row>
    <row r="500" spans="1:20">
      <c r="A500" s="182">
        <v>44452</v>
      </c>
      <c r="B500" s="183">
        <v>0.42810185185185184</v>
      </c>
      <c r="C500" s="184" t="s">
        <v>67</v>
      </c>
      <c r="D500" s="184" t="s">
        <v>68</v>
      </c>
      <c r="E500" s="184" t="s">
        <v>85</v>
      </c>
      <c r="F500" s="182">
        <v>44502</v>
      </c>
      <c r="G500" s="186" t="s">
        <v>94</v>
      </c>
      <c r="H500" s="184" t="s">
        <v>259</v>
      </c>
      <c r="T500" s="184" t="s">
        <v>619</v>
      </c>
    </row>
    <row r="501" spans="1:20">
      <c r="A501" s="182">
        <v>44452</v>
      </c>
      <c r="B501" s="183">
        <v>0.62684027777777784</v>
      </c>
      <c r="C501" s="184" t="s">
        <v>67</v>
      </c>
      <c r="D501" s="184" t="s">
        <v>68</v>
      </c>
      <c r="E501" s="184" t="s">
        <v>124</v>
      </c>
      <c r="F501" s="182">
        <v>44491</v>
      </c>
      <c r="G501" s="186" t="s">
        <v>112</v>
      </c>
      <c r="H501" s="184" t="s">
        <v>187</v>
      </c>
      <c r="T501" s="184" t="s">
        <v>184</v>
      </c>
    </row>
    <row r="502" spans="1:20">
      <c r="A502" s="182">
        <v>44452</v>
      </c>
      <c r="B502" s="183">
        <v>0.66148148148148145</v>
      </c>
      <c r="C502" s="184" t="s">
        <v>67</v>
      </c>
      <c r="D502" s="184" t="s">
        <v>68</v>
      </c>
      <c r="E502" s="184" t="s">
        <v>19</v>
      </c>
      <c r="F502" s="182">
        <v>44504</v>
      </c>
      <c r="G502" s="186" t="s">
        <v>94</v>
      </c>
      <c r="H502" s="184" t="s">
        <v>182</v>
      </c>
      <c r="T502" s="184" t="s">
        <v>620</v>
      </c>
    </row>
    <row r="503" spans="1:20">
      <c r="A503" s="182">
        <v>44453</v>
      </c>
      <c r="B503" s="183">
        <v>0.49123842592592593</v>
      </c>
      <c r="C503" s="184" t="s">
        <v>73</v>
      </c>
      <c r="D503" s="184" t="s">
        <v>91</v>
      </c>
      <c r="E503" s="184" t="s">
        <v>96</v>
      </c>
      <c r="F503" s="182">
        <v>44508</v>
      </c>
      <c r="G503" s="186" t="s">
        <v>94</v>
      </c>
      <c r="H503" s="184" t="s">
        <v>285</v>
      </c>
    </row>
    <row r="504" spans="1:20">
      <c r="A504" s="182">
        <v>44453</v>
      </c>
      <c r="B504" s="183">
        <v>0.51115740740740734</v>
      </c>
      <c r="C504" s="184" t="s">
        <v>73</v>
      </c>
      <c r="D504" s="184" t="s">
        <v>91</v>
      </c>
      <c r="E504" s="184" t="s">
        <v>124</v>
      </c>
      <c r="F504" s="182">
        <v>44589</v>
      </c>
      <c r="G504" s="186" t="s">
        <v>70</v>
      </c>
      <c r="H504" s="184" t="s">
        <v>93</v>
      </c>
    </row>
    <row r="505" spans="1:20">
      <c r="A505" s="182">
        <v>44453</v>
      </c>
      <c r="B505" s="183">
        <v>0.51135416666666667</v>
      </c>
      <c r="C505" s="184" t="s">
        <v>73</v>
      </c>
      <c r="D505" s="184" t="s">
        <v>91</v>
      </c>
      <c r="E505" s="184" t="s">
        <v>45</v>
      </c>
      <c r="F505" s="182">
        <v>44526</v>
      </c>
      <c r="G505" s="186" t="s">
        <v>94</v>
      </c>
      <c r="H505" s="184" t="s">
        <v>285</v>
      </c>
    </row>
    <row r="506" spans="1:20" ht="26">
      <c r="A506" s="182">
        <v>44454</v>
      </c>
      <c r="B506" s="183">
        <v>0.45071759259259259</v>
      </c>
      <c r="C506" s="184" t="s">
        <v>67</v>
      </c>
      <c r="D506" s="184" t="s">
        <v>91</v>
      </c>
      <c r="E506" s="184" t="s">
        <v>69</v>
      </c>
      <c r="F506" s="252" t="s">
        <v>624</v>
      </c>
      <c r="G506" s="186" t="s">
        <v>99</v>
      </c>
      <c r="H506" s="184" t="s">
        <v>189</v>
      </c>
    </row>
    <row r="507" spans="1:20" ht="26">
      <c r="A507" s="182">
        <v>44454</v>
      </c>
      <c r="B507" s="183">
        <v>0.7053124999999999</v>
      </c>
      <c r="C507" s="184" t="s">
        <v>67</v>
      </c>
      <c r="D507" s="184" t="s">
        <v>68</v>
      </c>
      <c r="E507" s="184" t="s">
        <v>69</v>
      </c>
      <c r="F507" s="252" t="s">
        <v>624</v>
      </c>
      <c r="G507" s="186" t="s">
        <v>99</v>
      </c>
      <c r="H507" s="184" t="s">
        <v>322</v>
      </c>
      <c r="T507" s="184" t="s">
        <v>161</v>
      </c>
    </row>
    <row r="508" spans="1:20">
      <c r="A508" s="182">
        <v>44454</v>
      </c>
      <c r="B508" s="183">
        <v>0.70559027777777772</v>
      </c>
      <c r="C508" s="184" t="s">
        <v>67</v>
      </c>
      <c r="D508" s="184" t="s">
        <v>68</v>
      </c>
      <c r="E508" s="184" t="s">
        <v>69</v>
      </c>
      <c r="F508" s="182">
        <v>44610</v>
      </c>
      <c r="G508" s="186" t="s">
        <v>94</v>
      </c>
      <c r="H508" s="184" t="s">
        <v>103</v>
      </c>
      <c r="T508" s="184" t="s">
        <v>161</v>
      </c>
    </row>
    <row r="509" spans="1:20">
      <c r="A509" s="182">
        <v>44455</v>
      </c>
      <c r="B509" s="183">
        <v>0.45841435185185181</v>
      </c>
      <c r="C509" s="184" t="s">
        <v>73</v>
      </c>
      <c r="D509" s="184" t="s">
        <v>68</v>
      </c>
      <c r="E509" s="184" t="s">
        <v>96</v>
      </c>
      <c r="F509" s="182">
        <v>44583</v>
      </c>
      <c r="G509" s="186" t="s">
        <v>94</v>
      </c>
      <c r="H509" s="184" t="s">
        <v>76</v>
      </c>
      <c r="T509" s="184" t="s">
        <v>625</v>
      </c>
    </row>
    <row r="510" spans="1:20">
      <c r="A510" s="182">
        <v>44455</v>
      </c>
      <c r="B510" s="183">
        <v>0.57239583333333333</v>
      </c>
      <c r="C510" s="184" t="s">
        <v>73</v>
      </c>
      <c r="D510" s="184" t="s">
        <v>91</v>
      </c>
      <c r="E510" s="184" t="s">
        <v>96</v>
      </c>
      <c r="F510" s="182">
        <v>44508</v>
      </c>
      <c r="G510" s="186" t="s">
        <v>94</v>
      </c>
      <c r="H510" s="184" t="s">
        <v>120</v>
      </c>
    </row>
    <row r="511" spans="1:20">
      <c r="A511" s="182">
        <v>44456</v>
      </c>
      <c r="B511" s="183">
        <v>0.41342592592592592</v>
      </c>
      <c r="C511" s="184" t="s">
        <v>67</v>
      </c>
      <c r="D511" s="184" t="s">
        <v>68</v>
      </c>
      <c r="E511" s="184" t="s">
        <v>96</v>
      </c>
      <c r="F511" s="182">
        <v>44508</v>
      </c>
      <c r="G511" s="186" t="s">
        <v>160</v>
      </c>
      <c r="H511" s="184" t="s">
        <v>209</v>
      </c>
      <c r="T511" s="184" t="s">
        <v>88</v>
      </c>
    </row>
    <row r="512" spans="1:20">
      <c r="A512" s="182">
        <v>44456</v>
      </c>
      <c r="B512" s="183">
        <v>0.41368055555555555</v>
      </c>
      <c r="C512" s="184" t="s">
        <v>67</v>
      </c>
      <c r="D512" s="184" t="s">
        <v>159</v>
      </c>
      <c r="E512" s="184" t="s">
        <v>96</v>
      </c>
      <c r="F512" s="182">
        <v>44508</v>
      </c>
      <c r="G512" s="186" t="s">
        <v>105</v>
      </c>
      <c r="H512" s="184" t="s">
        <v>228</v>
      </c>
    </row>
    <row r="513" spans="1:20">
      <c r="A513" s="182">
        <v>44456</v>
      </c>
      <c r="B513" s="183">
        <v>0.60745370370370366</v>
      </c>
      <c r="C513" s="184" t="s">
        <v>73</v>
      </c>
      <c r="D513" s="184" t="s">
        <v>68</v>
      </c>
      <c r="E513" s="184" t="s">
        <v>95</v>
      </c>
      <c r="F513" s="182">
        <v>44476</v>
      </c>
      <c r="G513" s="186" t="s">
        <v>99</v>
      </c>
      <c r="H513" s="184" t="s">
        <v>117</v>
      </c>
      <c r="T513" s="184" t="s">
        <v>138</v>
      </c>
    </row>
    <row r="514" spans="1:20">
      <c r="A514" s="182">
        <v>44460</v>
      </c>
      <c r="B514" s="183">
        <v>0.42993055555555554</v>
      </c>
      <c r="C514" s="184" t="s">
        <v>67</v>
      </c>
      <c r="D514" s="184" t="s">
        <v>68</v>
      </c>
      <c r="E514" s="184" t="s">
        <v>19</v>
      </c>
      <c r="F514" s="182">
        <v>44504</v>
      </c>
      <c r="G514" s="186" t="s">
        <v>94</v>
      </c>
      <c r="H514" s="184" t="s">
        <v>117</v>
      </c>
      <c r="T514" s="184" t="s">
        <v>452</v>
      </c>
    </row>
    <row r="515" spans="1:20">
      <c r="A515" s="182">
        <v>44460</v>
      </c>
      <c r="B515" s="183">
        <v>0.4528240740740741</v>
      </c>
      <c r="C515" s="184" t="s">
        <v>73</v>
      </c>
      <c r="D515" s="184" t="s">
        <v>68</v>
      </c>
      <c r="E515" s="184" t="s">
        <v>96</v>
      </c>
      <c r="F515" s="182">
        <v>44508</v>
      </c>
      <c r="G515" s="186" t="s">
        <v>94</v>
      </c>
      <c r="H515" s="184" t="s">
        <v>272</v>
      </c>
      <c r="T515" s="184" t="s">
        <v>626</v>
      </c>
    </row>
    <row r="516" spans="1:20">
      <c r="A516" s="182">
        <v>44460</v>
      </c>
      <c r="B516" s="183">
        <v>0.4930208333333333</v>
      </c>
      <c r="C516" s="184" t="s">
        <v>67</v>
      </c>
      <c r="D516" s="184" t="s">
        <v>68</v>
      </c>
      <c r="E516" s="184" t="s">
        <v>96</v>
      </c>
      <c r="F516" s="182">
        <v>44508</v>
      </c>
      <c r="G516" s="186" t="s">
        <v>94</v>
      </c>
      <c r="H516" s="184" t="s">
        <v>213</v>
      </c>
      <c r="T516" s="184" t="s">
        <v>627</v>
      </c>
    </row>
    <row r="517" spans="1:20">
      <c r="A517" s="182">
        <v>44460</v>
      </c>
      <c r="B517" s="183">
        <v>0.63179398148148147</v>
      </c>
      <c r="C517" s="184" t="s">
        <v>73</v>
      </c>
      <c r="D517" s="184" t="s">
        <v>68</v>
      </c>
      <c r="E517" s="184" t="s">
        <v>95</v>
      </c>
      <c r="F517" s="182">
        <v>44476</v>
      </c>
      <c r="G517" s="186" t="s">
        <v>94</v>
      </c>
      <c r="H517" s="184" t="s">
        <v>259</v>
      </c>
      <c r="T517" s="184" t="s">
        <v>306</v>
      </c>
    </row>
    <row r="518" spans="1:20">
      <c r="A518" s="182">
        <v>44460</v>
      </c>
      <c r="B518" s="183">
        <v>0.6325925925925926</v>
      </c>
      <c r="C518" s="184" t="s">
        <v>73</v>
      </c>
      <c r="D518" s="184" t="s">
        <v>68</v>
      </c>
      <c r="E518" s="184" t="s">
        <v>204</v>
      </c>
      <c r="F518" s="182">
        <v>44470</v>
      </c>
      <c r="G518" s="186" t="s">
        <v>94</v>
      </c>
      <c r="H518" s="184" t="s">
        <v>261</v>
      </c>
      <c r="T518" s="184" t="s">
        <v>306</v>
      </c>
    </row>
    <row r="519" spans="1:20">
      <c r="A519" s="182">
        <v>44461</v>
      </c>
      <c r="B519" s="183">
        <v>0.39467592592592587</v>
      </c>
      <c r="C519" s="184" t="s">
        <v>73</v>
      </c>
      <c r="D519" s="184" t="s">
        <v>68</v>
      </c>
      <c r="E519" s="184" t="s">
        <v>19</v>
      </c>
      <c r="F519" s="182">
        <v>44504</v>
      </c>
      <c r="G519" s="186" t="s">
        <v>114</v>
      </c>
      <c r="H519" s="184" t="s">
        <v>273</v>
      </c>
      <c r="T519" s="184" t="s">
        <v>234</v>
      </c>
    </row>
    <row r="520" spans="1:20">
      <c r="A520" s="182">
        <v>44461</v>
      </c>
      <c r="B520" s="183">
        <v>0.39515046296296297</v>
      </c>
      <c r="C520" s="184" t="s">
        <v>73</v>
      </c>
      <c r="D520" s="184" t="s">
        <v>68</v>
      </c>
      <c r="E520" s="184" t="s">
        <v>45</v>
      </c>
      <c r="F520" s="182">
        <v>44526</v>
      </c>
      <c r="G520" s="186" t="s">
        <v>114</v>
      </c>
      <c r="H520" s="184" t="s">
        <v>261</v>
      </c>
      <c r="T520" s="184" t="s">
        <v>234</v>
      </c>
    </row>
    <row r="521" spans="1:20">
      <c r="A521" s="182">
        <v>44461</v>
      </c>
      <c r="B521" s="183">
        <v>0.4455439814814815</v>
      </c>
      <c r="C521" s="184" t="s">
        <v>73</v>
      </c>
      <c r="D521" s="184" t="s">
        <v>91</v>
      </c>
      <c r="E521" s="184" t="s">
        <v>19</v>
      </c>
      <c r="F521" s="182">
        <v>44504</v>
      </c>
      <c r="G521" s="186" t="s">
        <v>114</v>
      </c>
      <c r="H521" s="184" t="s">
        <v>193</v>
      </c>
    </row>
    <row r="522" spans="1:20">
      <c r="A522" s="182">
        <v>44461</v>
      </c>
      <c r="B522" s="183">
        <v>0.56137731481481479</v>
      </c>
      <c r="C522" s="184" t="s">
        <v>73</v>
      </c>
      <c r="D522" s="184" t="s">
        <v>68</v>
      </c>
      <c r="E522" s="184" t="s">
        <v>96</v>
      </c>
      <c r="F522" s="182">
        <v>44508</v>
      </c>
      <c r="G522" s="186" t="s">
        <v>115</v>
      </c>
      <c r="H522" s="184" t="s">
        <v>209</v>
      </c>
      <c r="T522" s="184" t="s">
        <v>592</v>
      </c>
    </row>
    <row r="523" spans="1:20">
      <c r="A523" s="182">
        <v>44461</v>
      </c>
      <c r="B523" s="183">
        <v>0.68017361111111108</v>
      </c>
      <c r="C523" s="184" t="s">
        <v>67</v>
      </c>
      <c r="D523" s="184" t="s">
        <v>68</v>
      </c>
      <c r="E523" s="184" t="s">
        <v>85</v>
      </c>
      <c r="F523" s="182">
        <v>44502</v>
      </c>
      <c r="G523" s="186" t="s">
        <v>112</v>
      </c>
      <c r="H523" s="184" t="s">
        <v>260</v>
      </c>
      <c r="T523" s="184" t="s">
        <v>118</v>
      </c>
    </row>
    <row r="524" spans="1:20">
      <c r="A524" s="182">
        <v>44461</v>
      </c>
      <c r="B524" s="183">
        <v>0.70384259259259263</v>
      </c>
      <c r="C524" s="184" t="s">
        <v>73</v>
      </c>
      <c r="D524" s="184" t="s">
        <v>68</v>
      </c>
      <c r="E524" s="184" t="s">
        <v>19</v>
      </c>
      <c r="F524" s="182">
        <v>44504</v>
      </c>
      <c r="G524" s="186" t="s">
        <v>114</v>
      </c>
      <c r="H524" s="184" t="s">
        <v>260</v>
      </c>
      <c r="T524" s="184" t="s">
        <v>628</v>
      </c>
    </row>
    <row r="525" spans="1:20">
      <c r="A525" s="182">
        <v>44463</v>
      </c>
      <c r="B525" s="183">
        <v>0.58189814814814811</v>
      </c>
      <c r="C525" s="184" t="s">
        <v>67</v>
      </c>
      <c r="D525" s="184" t="s">
        <v>68</v>
      </c>
      <c r="E525" s="184" t="s">
        <v>96</v>
      </c>
      <c r="F525" s="182">
        <v>44583</v>
      </c>
      <c r="G525" s="186" t="s">
        <v>94</v>
      </c>
      <c r="H525" s="184" t="s">
        <v>87</v>
      </c>
      <c r="T525" s="184" t="s">
        <v>629</v>
      </c>
    </row>
    <row r="526" spans="1:20">
      <c r="A526" s="182">
        <v>44463</v>
      </c>
      <c r="B526" s="183">
        <v>0.67248842592592595</v>
      </c>
      <c r="C526" s="184" t="s">
        <v>67</v>
      </c>
      <c r="D526" s="184" t="s">
        <v>78</v>
      </c>
      <c r="E526" s="184" t="s">
        <v>19</v>
      </c>
      <c r="F526" s="182">
        <v>44504</v>
      </c>
      <c r="G526" s="186" t="s">
        <v>114</v>
      </c>
      <c r="H526" s="184" t="s">
        <v>98</v>
      </c>
    </row>
    <row r="527" spans="1:20">
      <c r="A527" s="182">
        <v>44463</v>
      </c>
      <c r="B527" s="183">
        <v>0.6726388888888889</v>
      </c>
      <c r="C527" s="184" t="s">
        <v>67</v>
      </c>
      <c r="D527" s="184" t="s">
        <v>78</v>
      </c>
      <c r="E527" s="184" t="s">
        <v>45</v>
      </c>
      <c r="F527" s="182">
        <v>44526</v>
      </c>
      <c r="G527" s="186" t="s">
        <v>114</v>
      </c>
      <c r="H527" s="184" t="s">
        <v>113</v>
      </c>
    </row>
    <row r="528" spans="1:20">
      <c r="A528" s="182">
        <v>44463</v>
      </c>
      <c r="B528" s="183">
        <v>0.67306712962962967</v>
      </c>
      <c r="C528" s="184" t="s">
        <v>67</v>
      </c>
      <c r="D528" s="184" t="s">
        <v>91</v>
      </c>
      <c r="E528" s="184" t="s">
        <v>69</v>
      </c>
      <c r="F528" s="182">
        <v>44533</v>
      </c>
      <c r="G528" s="186" t="s">
        <v>79</v>
      </c>
      <c r="H528" s="184" t="s">
        <v>337</v>
      </c>
    </row>
    <row r="529" spans="1:20">
      <c r="A529" s="182">
        <v>44463</v>
      </c>
      <c r="B529" s="183">
        <v>0.67355324074074074</v>
      </c>
      <c r="C529" s="184" t="s">
        <v>67</v>
      </c>
      <c r="D529" s="184" t="s">
        <v>91</v>
      </c>
      <c r="E529" s="184" t="s">
        <v>96</v>
      </c>
      <c r="F529" s="182">
        <v>44508</v>
      </c>
      <c r="G529" s="186" t="s">
        <v>70</v>
      </c>
      <c r="H529" s="184" t="s">
        <v>229</v>
      </c>
    </row>
    <row r="530" spans="1:20">
      <c r="A530" s="182">
        <v>44463</v>
      </c>
      <c r="B530" s="183">
        <v>0.67392361111111121</v>
      </c>
      <c r="C530" s="184" t="s">
        <v>67</v>
      </c>
      <c r="D530" s="184" t="s">
        <v>78</v>
      </c>
      <c r="E530" s="184" t="s">
        <v>19</v>
      </c>
      <c r="F530" s="182">
        <v>44504</v>
      </c>
      <c r="G530" s="186" t="s">
        <v>112</v>
      </c>
      <c r="H530" s="184" t="s">
        <v>297</v>
      </c>
    </row>
    <row r="531" spans="1:20">
      <c r="A531" s="182">
        <v>44463</v>
      </c>
      <c r="B531" s="183">
        <v>0.67439814814814814</v>
      </c>
      <c r="C531" s="184" t="s">
        <v>67</v>
      </c>
      <c r="D531" s="184" t="s">
        <v>78</v>
      </c>
      <c r="E531" s="184" t="s">
        <v>96</v>
      </c>
      <c r="F531" s="182">
        <v>44508</v>
      </c>
      <c r="G531" s="186" t="s">
        <v>114</v>
      </c>
      <c r="H531" s="184" t="s">
        <v>288</v>
      </c>
    </row>
    <row r="532" spans="1:20">
      <c r="A532" s="182">
        <v>44466</v>
      </c>
      <c r="B532" s="183">
        <v>0.42820601851851853</v>
      </c>
      <c r="C532" s="184" t="s">
        <v>67</v>
      </c>
      <c r="D532" s="184" t="s">
        <v>68</v>
      </c>
      <c r="E532" s="184" t="s">
        <v>19</v>
      </c>
      <c r="F532" s="182">
        <v>44504</v>
      </c>
      <c r="G532" s="186" t="s">
        <v>99</v>
      </c>
      <c r="H532" s="184" t="s">
        <v>261</v>
      </c>
      <c r="T532" s="184" t="s">
        <v>234</v>
      </c>
    </row>
    <row r="533" spans="1:20">
      <c r="A533" s="182">
        <v>44466</v>
      </c>
      <c r="B533" s="183">
        <v>0.45613425925925927</v>
      </c>
      <c r="C533" s="184" t="s">
        <v>73</v>
      </c>
      <c r="D533" s="184" t="s">
        <v>68</v>
      </c>
      <c r="E533" s="184" t="s">
        <v>96</v>
      </c>
      <c r="F533" s="182">
        <v>44508</v>
      </c>
      <c r="G533" s="186" t="s">
        <v>94</v>
      </c>
      <c r="H533" s="184" t="s">
        <v>272</v>
      </c>
      <c r="T533" s="184" t="s">
        <v>431</v>
      </c>
    </row>
    <row r="534" spans="1:20">
      <c r="A534" s="182">
        <v>44466</v>
      </c>
      <c r="B534" s="183">
        <v>0.50707175925925929</v>
      </c>
      <c r="C534" s="184" t="s">
        <v>73</v>
      </c>
      <c r="D534" s="184" t="s">
        <v>68</v>
      </c>
      <c r="E534" s="184" t="s">
        <v>19</v>
      </c>
      <c r="F534" s="182">
        <v>44573</v>
      </c>
      <c r="G534" s="186" t="s">
        <v>94</v>
      </c>
      <c r="H534" s="184" t="s">
        <v>87</v>
      </c>
      <c r="T534" s="184" t="s">
        <v>234</v>
      </c>
    </row>
    <row r="535" spans="1:20">
      <c r="A535" s="182">
        <v>44466</v>
      </c>
      <c r="B535" s="183">
        <v>0.69670138888888899</v>
      </c>
      <c r="C535" s="184" t="s">
        <v>73</v>
      </c>
      <c r="D535" s="184" t="s">
        <v>68</v>
      </c>
      <c r="E535" s="184" t="s">
        <v>204</v>
      </c>
      <c r="F535" s="182">
        <v>44470</v>
      </c>
      <c r="G535" s="186" t="s">
        <v>99</v>
      </c>
      <c r="H535" s="184" t="s">
        <v>273</v>
      </c>
      <c r="T535" s="184" t="s">
        <v>306</v>
      </c>
    </row>
    <row r="536" spans="1:20">
      <c r="A536" s="182">
        <v>44466</v>
      </c>
      <c r="B536" s="183">
        <v>0.70304398148148151</v>
      </c>
      <c r="C536" s="184" t="s">
        <v>73</v>
      </c>
      <c r="D536" s="184" t="s">
        <v>91</v>
      </c>
      <c r="E536" s="184" t="s">
        <v>45</v>
      </c>
      <c r="F536" s="182">
        <v>44526</v>
      </c>
      <c r="G536" s="186" t="s">
        <v>94</v>
      </c>
      <c r="H536" s="184" t="s">
        <v>120</v>
      </c>
    </row>
    <row r="537" spans="1:20">
      <c r="A537" s="182">
        <v>44467</v>
      </c>
      <c r="B537" s="183">
        <v>0.43973379629629633</v>
      </c>
      <c r="C537" s="184" t="s">
        <v>67</v>
      </c>
      <c r="D537" s="184" t="s">
        <v>68</v>
      </c>
      <c r="E537" s="184" t="s">
        <v>19</v>
      </c>
      <c r="F537" s="182">
        <v>44504</v>
      </c>
      <c r="G537" s="186" t="s">
        <v>94</v>
      </c>
      <c r="H537" s="184" t="s">
        <v>260</v>
      </c>
      <c r="T537" s="184" t="s">
        <v>630</v>
      </c>
    </row>
    <row r="538" spans="1:20">
      <c r="A538" s="182">
        <v>44467</v>
      </c>
      <c r="B538" s="183">
        <v>0.61059027777777775</v>
      </c>
      <c r="C538" s="184" t="s">
        <v>67</v>
      </c>
      <c r="D538" s="184" t="s">
        <v>68</v>
      </c>
      <c r="E538" s="184" t="s">
        <v>45</v>
      </c>
      <c r="F538" s="182">
        <v>44526</v>
      </c>
      <c r="G538" s="186" t="s">
        <v>94</v>
      </c>
      <c r="H538" s="184" t="s">
        <v>260</v>
      </c>
      <c r="T538" s="184" t="s">
        <v>631</v>
      </c>
    </row>
    <row r="539" spans="1:20">
      <c r="A539" s="182">
        <v>44467</v>
      </c>
      <c r="B539" s="183">
        <v>0.69405092592592599</v>
      </c>
      <c r="C539" s="184" t="s">
        <v>67</v>
      </c>
      <c r="D539" s="184" t="s">
        <v>68</v>
      </c>
      <c r="E539" s="184" t="s">
        <v>19</v>
      </c>
      <c r="F539" s="182">
        <v>44504</v>
      </c>
      <c r="G539" s="186" t="s">
        <v>114</v>
      </c>
      <c r="H539" s="184" t="s">
        <v>305</v>
      </c>
      <c r="T539" s="184" t="s">
        <v>632</v>
      </c>
    </row>
    <row r="540" spans="1:20">
      <c r="A540" s="182">
        <v>44468</v>
      </c>
      <c r="B540" s="183">
        <v>0.43466435185185182</v>
      </c>
      <c r="C540" s="184" t="s">
        <v>67</v>
      </c>
      <c r="D540" s="184" t="s">
        <v>78</v>
      </c>
      <c r="E540" s="184" t="s">
        <v>45</v>
      </c>
      <c r="F540" s="182">
        <v>44526</v>
      </c>
      <c r="G540" s="186" t="s">
        <v>94</v>
      </c>
      <c r="H540" s="184" t="s">
        <v>265</v>
      </c>
    </row>
    <row r="541" spans="1:20">
      <c r="A541" s="182">
        <v>44468</v>
      </c>
      <c r="B541" s="183">
        <v>0.46326388888888892</v>
      </c>
      <c r="C541" s="184" t="s">
        <v>67</v>
      </c>
      <c r="D541" s="184" t="s">
        <v>68</v>
      </c>
      <c r="E541" s="184" t="s">
        <v>124</v>
      </c>
      <c r="F541" s="182">
        <v>44589</v>
      </c>
      <c r="G541" s="186" t="s">
        <v>94</v>
      </c>
      <c r="H541" s="184" t="s">
        <v>206</v>
      </c>
      <c r="T541" s="184" t="s">
        <v>633</v>
      </c>
    </row>
    <row r="542" spans="1:20">
      <c r="A542" s="182">
        <v>44468</v>
      </c>
      <c r="B542" s="183">
        <v>0.50562499999999999</v>
      </c>
      <c r="C542" s="184" t="s">
        <v>73</v>
      </c>
      <c r="D542" s="184" t="s">
        <v>78</v>
      </c>
      <c r="E542" s="184" t="s">
        <v>85</v>
      </c>
      <c r="F542" s="182">
        <v>44502</v>
      </c>
      <c r="G542" s="186" t="s">
        <v>70</v>
      </c>
      <c r="H542" s="184" t="s">
        <v>86</v>
      </c>
    </row>
    <row r="543" spans="1:20">
      <c r="A543" s="182">
        <v>44469</v>
      </c>
      <c r="B543" s="183">
        <v>0.40825231481481478</v>
      </c>
      <c r="C543" s="184" t="s">
        <v>67</v>
      </c>
      <c r="D543" s="184" t="s">
        <v>78</v>
      </c>
      <c r="E543" s="184" t="s">
        <v>19</v>
      </c>
      <c r="F543" s="182">
        <v>44504</v>
      </c>
      <c r="G543" s="186" t="s">
        <v>94</v>
      </c>
      <c r="H543" s="184" t="s">
        <v>280</v>
      </c>
    </row>
    <row r="544" spans="1:20">
      <c r="A544" s="182">
        <v>44469</v>
      </c>
      <c r="B544" s="183">
        <v>0.4553935185185185</v>
      </c>
      <c r="C544" s="184" t="s">
        <v>67</v>
      </c>
      <c r="D544" s="184" t="s">
        <v>78</v>
      </c>
      <c r="E544" s="184" t="s">
        <v>19</v>
      </c>
      <c r="F544" s="182">
        <v>44504</v>
      </c>
      <c r="G544" s="186" t="s">
        <v>94</v>
      </c>
      <c r="H544" s="184" t="s">
        <v>186</v>
      </c>
    </row>
    <row r="545" spans="1:20">
      <c r="A545" s="182">
        <v>44469</v>
      </c>
      <c r="B545" s="183">
        <v>0.45571759259259265</v>
      </c>
      <c r="C545" s="184" t="s">
        <v>67</v>
      </c>
      <c r="D545" s="184" t="s">
        <v>78</v>
      </c>
      <c r="E545" s="184" t="s">
        <v>96</v>
      </c>
      <c r="F545" s="182">
        <v>44508</v>
      </c>
      <c r="G545" s="186" t="s">
        <v>94</v>
      </c>
      <c r="H545" s="184" t="s">
        <v>267</v>
      </c>
    </row>
    <row r="546" spans="1:20">
      <c r="A546" s="182">
        <v>44469</v>
      </c>
      <c r="B546" s="183">
        <v>0.45593750000000005</v>
      </c>
      <c r="C546" s="184" t="s">
        <v>67</v>
      </c>
      <c r="D546" s="184" t="s">
        <v>78</v>
      </c>
      <c r="E546" s="184" t="s">
        <v>45</v>
      </c>
      <c r="F546" s="182">
        <v>44526</v>
      </c>
      <c r="G546" s="186" t="s">
        <v>94</v>
      </c>
      <c r="H546" s="184" t="s">
        <v>288</v>
      </c>
    </row>
    <row r="547" spans="1:20">
      <c r="A547" s="182">
        <v>44469</v>
      </c>
      <c r="B547" s="183">
        <v>0.47476851851851848</v>
      </c>
      <c r="C547" s="184" t="s">
        <v>67</v>
      </c>
      <c r="D547" s="184" t="s">
        <v>91</v>
      </c>
      <c r="E547" s="184" t="s">
        <v>19</v>
      </c>
      <c r="F547" s="182">
        <v>44504</v>
      </c>
      <c r="G547" s="186" t="s">
        <v>94</v>
      </c>
      <c r="H547" s="184" t="s">
        <v>337</v>
      </c>
    </row>
    <row r="548" spans="1:20">
      <c r="A548" s="182">
        <v>44469</v>
      </c>
      <c r="B548" s="183">
        <v>0.56512731481481482</v>
      </c>
      <c r="C548" s="184" t="s">
        <v>67</v>
      </c>
      <c r="D548" s="184" t="s">
        <v>68</v>
      </c>
      <c r="E548" s="184" t="s">
        <v>19</v>
      </c>
      <c r="F548" s="182">
        <v>44504</v>
      </c>
      <c r="G548" s="186" t="s">
        <v>94</v>
      </c>
      <c r="H548" s="184" t="s">
        <v>322</v>
      </c>
      <c r="T548" s="184" t="s">
        <v>634</v>
      </c>
    </row>
    <row r="549" spans="1:20">
      <c r="A549" s="182">
        <v>44470</v>
      </c>
      <c r="B549" s="183">
        <v>0.4067013888888889</v>
      </c>
      <c r="C549" s="184" t="s">
        <v>67</v>
      </c>
      <c r="D549" s="184" t="s">
        <v>78</v>
      </c>
      <c r="E549" s="184" t="s">
        <v>89</v>
      </c>
      <c r="F549" s="182">
        <v>44505</v>
      </c>
      <c r="G549" s="186" t="s">
        <v>112</v>
      </c>
      <c r="H549" s="184" t="s">
        <v>113</v>
      </c>
    </row>
    <row r="550" spans="1:20">
      <c r="A550" s="182">
        <v>44470</v>
      </c>
      <c r="B550" s="183">
        <v>0.4130092592592593</v>
      </c>
      <c r="C550" s="184" t="s">
        <v>67</v>
      </c>
      <c r="D550" s="184" t="s">
        <v>68</v>
      </c>
      <c r="E550" s="184" t="s">
        <v>96</v>
      </c>
      <c r="F550" s="182">
        <v>44508</v>
      </c>
      <c r="G550" s="186" t="s">
        <v>94</v>
      </c>
      <c r="H550" s="184" t="s">
        <v>213</v>
      </c>
      <c r="T550" s="184" t="s">
        <v>635</v>
      </c>
    </row>
    <row r="551" spans="1:20">
      <c r="A551" s="182">
        <v>44470</v>
      </c>
      <c r="B551" s="183">
        <v>0.52494212962962961</v>
      </c>
      <c r="C551" s="184" t="s">
        <v>67</v>
      </c>
      <c r="D551" s="184" t="s">
        <v>68</v>
      </c>
      <c r="E551" s="184" t="s">
        <v>96</v>
      </c>
      <c r="F551" s="182">
        <v>44508</v>
      </c>
      <c r="G551" s="186" t="s">
        <v>94</v>
      </c>
      <c r="H551" s="184" t="s">
        <v>225</v>
      </c>
      <c r="T551" s="184" t="s">
        <v>636</v>
      </c>
    </row>
    <row r="552" spans="1:20">
      <c r="A552" s="182">
        <v>44470</v>
      </c>
      <c r="B552" s="183">
        <v>0.61230324074074072</v>
      </c>
      <c r="C552" s="184" t="s">
        <v>67</v>
      </c>
      <c r="D552" s="184" t="s">
        <v>91</v>
      </c>
      <c r="E552" s="184" t="s">
        <v>124</v>
      </c>
      <c r="F552" s="182">
        <v>44589</v>
      </c>
      <c r="G552" s="186" t="s">
        <v>83</v>
      </c>
      <c r="H552" s="184" t="s">
        <v>120</v>
      </c>
    </row>
    <row r="553" spans="1:20">
      <c r="A553" s="182">
        <v>44473</v>
      </c>
      <c r="B553" s="183">
        <v>0.38241898148148151</v>
      </c>
      <c r="C553" s="184" t="s">
        <v>67</v>
      </c>
      <c r="D553" s="184" t="s">
        <v>68</v>
      </c>
      <c r="E553" s="184" t="s">
        <v>95</v>
      </c>
      <c r="F553" s="182">
        <v>44476</v>
      </c>
      <c r="G553" s="186" t="s">
        <v>99</v>
      </c>
      <c r="H553" s="184" t="s">
        <v>117</v>
      </c>
      <c r="T553" s="184" t="s">
        <v>637</v>
      </c>
    </row>
    <row r="554" spans="1:20">
      <c r="A554" s="182">
        <v>44473</v>
      </c>
      <c r="B554" s="183">
        <v>0.5291203703703703</v>
      </c>
      <c r="C554" s="184" t="s">
        <v>73</v>
      </c>
      <c r="D554" s="184" t="s">
        <v>68</v>
      </c>
      <c r="E554" s="184" t="s">
        <v>96</v>
      </c>
      <c r="F554" s="182">
        <v>44508</v>
      </c>
      <c r="G554" s="186" t="s">
        <v>94</v>
      </c>
      <c r="H554" s="184" t="s">
        <v>231</v>
      </c>
      <c r="T554" s="184" t="s">
        <v>638</v>
      </c>
    </row>
    <row r="555" spans="1:20">
      <c r="A555" s="182">
        <v>44473</v>
      </c>
      <c r="B555" s="183">
        <v>0.7061574074074074</v>
      </c>
      <c r="C555" s="184" t="s">
        <v>73</v>
      </c>
      <c r="D555" s="184" t="s">
        <v>91</v>
      </c>
      <c r="E555" s="184" t="s">
        <v>96</v>
      </c>
      <c r="F555" s="182">
        <v>44583</v>
      </c>
      <c r="G555" s="186" t="s">
        <v>70</v>
      </c>
      <c r="H555" s="184" t="s">
        <v>93</v>
      </c>
    </row>
    <row r="556" spans="1:20">
      <c r="A556" s="182">
        <v>44473</v>
      </c>
      <c r="B556" s="183">
        <v>0.70634259259259258</v>
      </c>
      <c r="C556" s="184" t="s">
        <v>73</v>
      </c>
      <c r="D556" s="184" t="s">
        <v>91</v>
      </c>
      <c r="E556" s="184" t="s">
        <v>85</v>
      </c>
      <c r="F556" s="182">
        <v>44502</v>
      </c>
      <c r="G556" s="186" t="s">
        <v>70</v>
      </c>
      <c r="H556" s="184" t="s">
        <v>93</v>
      </c>
    </row>
    <row r="557" spans="1:20">
      <c r="A557" s="182">
        <v>44474</v>
      </c>
      <c r="B557" s="183">
        <v>0.44688657407407412</v>
      </c>
      <c r="C557" s="184" t="s">
        <v>67</v>
      </c>
      <c r="D557" s="184" t="s">
        <v>68</v>
      </c>
      <c r="E557" s="184" t="s">
        <v>45</v>
      </c>
      <c r="F557" s="182">
        <v>44526</v>
      </c>
      <c r="G557" s="186" t="s">
        <v>94</v>
      </c>
      <c r="H557" s="184" t="s">
        <v>256</v>
      </c>
      <c r="T557" s="184" t="s">
        <v>412</v>
      </c>
    </row>
    <row r="558" spans="1:20">
      <c r="A558" s="182">
        <v>44474</v>
      </c>
      <c r="B558" s="183">
        <v>0.64506944444444447</v>
      </c>
      <c r="C558" s="184" t="s">
        <v>67</v>
      </c>
      <c r="D558" s="184" t="s">
        <v>68</v>
      </c>
      <c r="E558" s="184" t="s">
        <v>96</v>
      </c>
      <c r="F558" s="182">
        <v>44508</v>
      </c>
      <c r="G558" s="186" t="s">
        <v>94</v>
      </c>
      <c r="H558" s="184" t="s">
        <v>239</v>
      </c>
      <c r="T558" s="184" t="s">
        <v>639</v>
      </c>
    </row>
    <row r="559" spans="1:20">
      <c r="A559" s="182">
        <v>44475</v>
      </c>
      <c r="B559" s="183">
        <v>0.39165509259259257</v>
      </c>
      <c r="C559" s="184" t="s">
        <v>73</v>
      </c>
      <c r="D559" s="184" t="s">
        <v>68</v>
      </c>
      <c r="E559" s="184" t="s">
        <v>85</v>
      </c>
      <c r="F559" s="182">
        <v>44502</v>
      </c>
      <c r="G559" s="186" t="s">
        <v>99</v>
      </c>
      <c r="H559" s="184" t="s">
        <v>261</v>
      </c>
      <c r="T559" s="184" t="s">
        <v>554</v>
      </c>
    </row>
    <row r="560" spans="1:20">
      <c r="A560" s="182">
        <v>44475</v>
      </c>
      <c r="B560" s="183">
        <v>0.59881944444444446</v>
      </c>
      <c r="C560" s="184" t="s">
        <v>73</v>
      </c>
      <c r="D560" s="184" t="s">
        <v>68</v>
      </c>
      <c r="E560" s="184" t="s">
        <v>96</v>
      </c>
      <c r="F560" s="182">
        <v>44508</v>
      </c>
      <c r="G560" s="186" t="s">
        <v>99</v>
      </c>
      <c r="H560" s="184" t="s">
        <v>231</v>
      </c>
      <c r="T560" s="184" t="s">
        <v>158</v>
      </c>
    </row>
    <row r="561" spans="1:20">
      <c r="A561" s="182">
        <v>44475</v>
      </c>
      <c r="B561" s="183">
        <v>0.63694444444444442</v>
      </c>
      <c r="C561" s="184" t="s">
        <v>67</v>
      </c>
      <c r="D561" s="184" t="s">
        <v>91</v>
      </c>
      <c r="E561" s="184" t="s">
        <v>19</v>
      </c>
      <c r="F561" s="182">
        <v>44504</v>
      </c>
      <c r="G561" s="186" t="s">
        <v>99</v>
      </c>
      <c r="H561" s="184" t="s">
        <v>193</v>
      </c>
    </row>
    <row r="562" spans="1:20">
      <c r="A562" s="182">
        <v>44475</v>
      </c>
      <c r="B562" s="183">
        <v>0.63703703703703707</v>
      </c>
      <c r="C562" s="184" t="s">
        <v>67</v>
      </c>
      <c r="D562" s="184" t="s">
        <v>91</v>
      </c>
      <c r="E562" s="184" t="s">
        <v>19</v>
      </c>
      <c r="F562" s="182">
        <v>44504</v>
      </c>
      <c r="G562" s="186" t="s">
        <v>94</v>
      </c>
      <c r="H562" s="184" t="s">
        <v>337</v>
      </c>
    </row>
    <row r="563" spans="1:20">
      <c r="A563" s="182">
        <v>44475</v>
      </c>
      <c r="B563" s="183">
        <v>0.64045138888888886</v>
      </c>
      <c r="C563" s="184" t="s">
        <v>67</v>
      </c>
      <c r="D563" s="184" t="s">
        <v>91</v>
      </c>
      <c r="E563" s="184" t="s">
        <v>85</v>
      </c>
      <c r="F563" s="182">
        <v>44502</v>
      </c>
      <c r="G563" s="186" t="s">
        <v>114</v>
      </c>
      <c r="H563" s="184" t="s">
        <v>227</v>
      </c>
    </row>
    <row r="564" spans="1:20">
      <c r="A564" s="182">
        <v>44475</v>
      </c>
      <c r="B564" s="183">
        <v>0.65013888888888893</v>
      </c>
      <c r="C564" s="184" t="s">
        <v>73</v>
      </c>
      <c r="D564" s="184" t="s">
        <v>78</v>
      </c>
      <c r="E564" s="184" t="s">
        <v>96</v>
      </c>
      <c r="F564" s="182">
        <v>44508</v>
      </c>
      <c r="G564" s="186" t="s">
        <v>94</v>
      </c>
      <c r="H564" s="184" t="s">
        <v>327</v>
      </c>
    </row>
    <row r="565" spans="1:20">
      <c r="A565" s="182">
        <v>44475</v>
      </c>
      <c r="B565" s="183">
        <v>0.67841435185185184</v>
      </c>
      <c r="C565" s="184" t="s">
        <v>73</v>
      </c>
      <c r="D565" s="184" t="s">
        <v>68</v>
      </c>
      <c r="E565" s="184" t="s">
        <v>96</v>
      </c>
      <c r="F565" s="182">
        <v>44508</v>
      </c>
      <c r="G565" s="186" t="s">
        <v>99</v>
      </c>
      <c r="H565" s="184" t="s">
        <v>225</v>
      </c>
      <c r="T565" s="184" t="s">
        <v>411</v>
      </c>
    </row>
    <row r="566" spans="1:20">
      <c r="A566" s="182">
        <v>44476</v>
      </c>
      <c r="B566" s="183">
        <v>0.42987268518518523</v>
      </c>
      <c r="C566" s="184" t="s">
        <v>73</v>
      </c>
      <c r="D566" s="184" t="s">
        <v>91</v>
      </c>
      <c r="E566" s="184" t="s">
        <v>96</v>
      </c>
      <c r="F566" s="182">
        <v>44508</v>
      </c>
      <c r="G566" s="186" t="s">
        <v>94</v>
      </c>
      <c r="H566" s="184" t="s">
        <v>189</v>
      </c>
    </row>
    <row r="567" spans="1:20">
      <c r="A567" s="182">
        <v>44476</v>
      </c>
      <c r="B567" s="183">
        <v>0.46703703703703708</v>
      </c>
      <c r="C567" s="184" t="s">
        <v>67</v>
      </c>
      <c r="D567" s="184" t="s">
        <v>91</v>
      </c>
      <c r="E567" s="184" t="s">
        <v>85</v>
      </c>
      <c r="F567" s="182">
        <v>44502</v>
      </c>
      <c r="G567" s="186" t="s">
        <v>94</v>
      </c>
      <c r="H567" s="184" t="s">
        <v>285</v>
      </c>
    </row>
    <row r="568" spans="1:20">
      <c r="A568" s="182">
        <v>44476</v>
      </c>
      <c r="B568" s="183">
        <v>0.61384259259259266</v>
      </c>
      <c r="C568" s="184" t="s">
        <v>73</v>
      </c>
      <c r="D568" s="184" t="s">
        <v>91</v>
      </c>
      <c r="E568" s="184" t="s">
        <v>85</v>
      </c>
      <c r="F568" s="182">
        <v>44502</v>
      </c>
      <c r="G568" s="186" t="s">
        <v>94</v>
      </c>
      <c r="H568" s="184" t="s">
        <v>120</v>
      </c>
    </row>
    <row r="569" spans="1:20">
      <c r="A569" s="182">
        <v>44477</v>
      </c>
      <c r="B569" s="183">
        <v>0.38663194444444443</v>
      </c>
      <c r="C569" s="184" t="s">
        <v>67</v>
      </c>
      <c r="D569" s="184" t="s">
        <v>78</v>
      </c>
      <c r="E569" s="184" t="s">
        <v>69</v>
      </c>
      <c r="F569" s="182">
        <v>44533</v>
      </c>
      <c r="G569" s="186" t="s">
        <v>112</v>
      </c>
      <c r="H569" s="184" t="s">
        <v>288</v>
      </c>
    </row>
    <row r="570" spans="1:20">
      <c r="A570" s="182">
        <v>44477</v>
      </c>
      <c r="B570" s="183">
        <v>0.60041666666666671</v>
      </c>
      <c r="C570" s="184" t="s">
        <v>67</v>
      </c>
      <c r="D570" s="184" t="s">
        <v>68</v>
      </c>
      <c r="E570" s="184" t="s">
        <v>85</v>
      </c>
      <c r="F570" s="182">
        <v>44502</v>
      </c>
      <c r="G570" s="186" t="s">
        <v>94</v>
      </c>
      <c r="H570" s="184" t="s">
        <v>260</v>
      </c>
      <c r="T570" s="184" t="s">
        <v>640</v>
      </c>
    </row>
    <row r="571" spans="1:20">
      <c r="A571" s="182">
        <v>44477</v>
      </c>
      <c r="B571" s="183">
        <v>0.71072916666666675</v>
      </c>
      <c r="C571" s="184" t="s">
        <v>67</v>
      </c>
      <c r="D571" s="184" t="s">
        <v>91</v>
      </c>
      <c r="E571" s="184" t="s">
        <v>85</v>
      </c>
      <c r="F571" s="182">
        <v>44502</v>
      </c>
      <c r="G571" s="186" t="s">
        <v>114</v>
      </c>
      <c r="H571" s="184" t="s">
        <v>189</v>
      </c>
    </row>
    <row r="572" spans="1:20">
      <c r="A572" s="182">
        <v>44480</v>
      </c>
      <c r="B572" s="183">
        <v>0.38557870370370373</v>
      </c>
      <c r="C572" s="184" t="s">
        <v>73</v>
      </c>
      <c r="D572" s="184" t="s">
        <v>68</v>
      </c>
      <c r="E572" s="184" t="s">
        <v>96</v>
      </c>
      <c r="F572" s="182">
        <v>44583</v>
      </c>
      <c r="G572" s="186" t="s">
        <v>94</v>
      </c>
      <c r="H572" s="184" t="s">
        <v>101</v>
      </c>
      <c r="T572" s="184" t="s">
        <v>411</v>
      </c>
    </row>
    <row r="573" spans="1:20">
      <c r="A573" s="182">
        <v>44480</v>
      </c>
      <c r="B573" s="183">
        <v>0.42708333333333331</v>
      </c>
      <c r="C573" s="184" t="s">
        <v>67</v>
      </c>
      <c r="D573" s="184" t="s">
        <v>68</v>
      </c>
      <c r="E573" s="184" t="s">
        <v>96</v>
      </c>
      <c r="F573" s="182">
        <v>44583</v>
      </c>
      <c r="G573" s="186" t="s">
        <v>94</v>
      </c>
      <c r="H573" s="184" t="s">
        <v>103</v>
      </c>
      <c r="T573" s="184" t="s">
        <v>641</v>
      </c>
    </row>
    <row r="574" spans="1:20">
      <c r="A574" s="182">
        <v>44480</v>
      </c>
      <c r="B574" s="183">
        <v>0.5433796296296296</v>
      </c>
      <c r="C574" s="184" t="s">
        <v>73</v>
      </c>
      <c r="D574" s="184" t="s">
        <v>68</v>
      </c>
      <c r="E574" s="184" t="s">
        <v>124</v>
      </c>
      <c r="F574" s="182">
        <v>44589</v>
      </c>
      <c r="G574" s="186" t="s">
        <v>94</v>
      </c>
      <c r="H574" s="184" t="s">
        <v>209</v>
      </c>
      <c r="T574" s="184" t="s">
        <v>642</v>
      </c>
    </row>
    <row r="575" spans="1:20">
      <c r="A575" s="182">
        <v>44481</v>
      </c>
      <c r="B575" s="183">
        <v>0.6638425925925926</v>
      </c>
      <c r="C575" s="184" t="s">
        <v>67</v>
      </c>
      <c r="D575" s="184" t="s">
        <v>78</v>
      </c>
      <c r="E575" s="184" t="s">
        <v>69</v>
      </c>
      <c r="F575" s="182">
        <v>44533</v>
      </c>
      <c r="G575" s="186" t="s">
        <v>114</v>
      </c>
      <c r="H575" s="184" t="s">
        <v>327</v>
      </c>
    </row>
    <row r="576" spans="1:20">
      <c r="A576" s="182">
        <v>44482</v>
      </c>
      <c r="B576" s="183">
        <v>0.64011574074074074</v>
      </c>
      <c r="C576" s="184" t="s">
        <v>73</v>
      </c>
      <c r="D576" s="184" t="s">
        <v>68</v>
      </c>
      <c r="E576" s="184" t="s">
        <v>96</v>
      </c>
      <c r="F576" s="182">
        <v>44638</v>
      </c>
      <c r="G576" s="186" t="s">
        <v>75</v>
      </c>
      <c r="H576" s="184" t="s">
        <v>76</v>
      </c>
      <c r="T576" s="184" t="s">
        <v>592</v>
      </c>
    </row>
    <row r="577" spans="1:20">
      <c r="A577" s="182">
        <v>44483</v>
      </c>
      <c r="B577" s="183">
        <v>0.38568287037037036</v>
      </c>
      <c r="C577" s="184" t="s">
        <v>67</v>
      </c>
      <c r="D577" s="184" t="s">
        <v>68</v>
      </c>
      <c r="E577" s="184" t="s">
        <v>69</v>
      </c>
      <c r="F577" s="182">
        <v>44533</v>
      </c>
      <c r="G577" s="186" t="s">
        <v>114</v>
      </c>
      <c r="H577" s="184" t="s">
        <v>182</v>
      </c>
      <c r="T577" s="184" t="s">
        <v>643</v>
      </c>
    </row>
    <row r="578" spans="1:20">
      <c r="A578" s="182">
        <v>44483</v>
      </c>
      <c r="B578" s="183">
        <v>0.38638888888888889</v>
      </c>
      <c r="C578" s="184" t="s">
        <v>67</v>
      </c>
      <c r="D578" s="184" t="s">
        <v>68</v>
      </c>
      <c r="E578" s="184" t="s">
        <v>69</v>
      </c>
      <c r="F578" s="182">
        <v>44610</v>
      </c>
      <c r="G578" s="186" t="s">
        <v>94</v>
      </c>
      <c r="H578" s="184" t="s">
        <v>182</v>
      </c>
      <c r="T578" s="184" t="s">
        <v>643</v>
      </c>
    </row>
    <row r="579" spans="1:20">
      <c r="A579" s="182">
        <v>44483</v>
      </c>
      <c r="B579" s="183">
        <v>0.55315972222222221</v>
      </c>
      <c r="C579" s="184" t="s">
        <v>67</v>
      </c>
      <c r="D579" s="184" t="s">
        <v>78</v>
      </c>
      <c r="E579" s="184" t="s">
        <v>69</v>
      </c>
      <c r="F579" s="182">
        <v>44533</v>
      </c>
      <c r="G579" s="186" t="s">
        <v>94</v>
      </c>
      <c r="H579" s="184" t="s">
        <v>82</v>
      </c>
    </row>
    <row r="580" spans="1:20">
      <c r="A580" s="182">
        <v>44483</v>
      </c>
      <c r="B580" s="183">
        <v>0.58486111111111116</v>
      </c>
      <c r="C580" s="184" t="s">
        <v>67</v>
      </c>
      <c r="D580" s="184" t="s">
        <v>68</v>
      </c>
      <c r="E580" s="184" t="s">
        <v>96</v>
      </c>
      <c r="F580" s="182">
        <v>44638</v>
      </c>
      <c r="G580" s="186" t="s">
        <v>70</v>
      </c>
      <c r="H580" s="184" t="s">
        <v>87</v>
      </c>
      <c r="T580" s="184" t="s">
        <v>644</v>
      </c>
    </row>
    <row r="581" spans="1:20">
      <c r="A581" s="182">
        <v>44483</v>
      </c>
      <c r="B581" s="183">
        <v>0.67815972222222232</v>
      </c>
      <c r="C581" s="184" t="s">
        <v>67</v>
      </c>
      <c r="D581" s="184" t="s">
        <v>91</v>
      </c>
      <c r="E581" s="184" t="s">
        <v>85</v>
      </c>
      <c r="F581" s="182">
        <v>44502</v>
      </c>
      <c r="G581" s="186" t="s">
        <v>94</v>
      </c>
      <c r="H581" s="184" t="s">
        <v>218</v>
      </c>
    </row>
    <row r="582" spans="1:20">
      <c r="A582" s="182">
        <v>44484</v>
      </c>
      <c r="B582" s="183">
        <v>0.41687500000000005</v>
      </c>
      <c r="C582" s="184" t="s">
        <v>73</v>
      </c>
      <c r="D582" s="184" t="s">
        <v>68</v>
      </c>
      <c r="E582" s="184" t="s">
        <v>45</v>
      </c>
      <c r="F582" s="182">
        <v>44526</v>
      </c>
      <c r="G582" s="186" t="s">
        <v>99</v>
      </c>
      <c r="H582" s="184" t="s">
        <v>260</v>
      </c>
      <c r="T582" s="184" t="s">
        <v>645</v>
      </c>
    </row>
    <row r="583" spans="1:20">
      <c r="A583" s="182">
        <v>44484</v>
      </c>
      <c r="B583" s="183">
        <v>0.4233912037037037</v>
      </c>
      <c r="C583" s="184" t="s">
        <v>73</v>
      </c>
      <c r="D583" s="184" t="s">
        <v>68</v>
      </c>
      <c r="E583" s="184" t="s">
        <v>19</v>
      </c>
      <c r="F583" s="182">
        <v>44573</v>
      </c>
      <c r="G583" s="186" t="s">
        <v>94</v>
      </c>
      <c r="H583" s="184" t="s">
        <v>101</v>
      </c>
      <c r="T583" s="184" t="s">
        <v>645</v>
      </c>
    </row>
    <row r="584" spans="1:20">
      <c r="A584" s="182">
        <v>44484</v>
      </c>
      <c r="B584" s="183">
        <v>0.47399305555555554</v>
      </c>
      <c r="C584" s="184" t="s">
        <v>73</v>
      </c>
      <c r="D584" s="184" t="s">
        <v>68</v>
      </c>
      <c r="E584" s="184" t="s">
        <v>96</v>
      </c>
      <c r="F584" s="182">
        <v>44583</v>
      </c>
      <c r="G584" s="186" t="s">
        <v>94</v>
      </c>
      <c r="H584" s="184" t="s">
        <v>182</v>
      </c>
      <c r="T584" s="184" t="s">
        <v>646</v>
      </c>
    </row>
    <row r="585" spans="1:20">
      <c r="A585" s="182">
        <v>44484</v>
      </c>
      <c r="B585" s="183">
        <v>0.62100694444444449</v>
      </c>
      <c r="C585" s="184" t="s">
        <v>73</v>
      </c>
      <c r="D585" s="184" t="s">
        <v>91</v>
      </c>
      <c r="E585" s="184" t="s">
        <v>45</v>
      </c>
      <c r="F585" s="182">
        <v>44526</v>
      </c>
      <c r="G585" s="186" t="s">
        <v>94</v>
      </c>
      <c r="H585" s="184" t="s">
        <v>229</v>
      </c>
    </row>
    <row r="586" spans="1:20">
      <c r="A586" s="182">
        <v>44487</v>
      </c>
      <c r="B586" s="183">
        <v>0.42563657407407413</v>
      </c>
      <c r="C586" s="184" t="s">
        <v>73</v>
      </c>
      <c r="D586" s="184" t="s">
        <v>68</v>
      </c>
      <c r="E586" s="184" t="s">
        <v>45</v>
      </c>
      <c r="F586" s="182">
        <v>44526</v>
      </c>
      <c r="G586" s="186" t="s">
        <v>94</v>
      </c>
      <c r="H586" s="184" t="s">
        <v>256</v>
      </c>
      <c r="T586" s="184" t="s">
        <v>648</v>
      </c>
    </row>
    <row r="587" spans="1:20">
      <c r="A587" s="182">
        <v>44487</v>
      </c>
      <c r="B587" s="183">
        <v>0.42818287037037034</v>
      </c>
      <c r="C587" s="184" t="s">
        <v>73</v>
      </c>
      <c r="D587" s="184" t="s">
        <v>68</v>
      </c>
      <c r="E587" s="184" t="s">
        <v>96</v>
      </c>
      <c r="F587" s="182">
        <v>44638</v>
      </c>
      <c r="G587" s="186" t="s">
        <v>94</v>
      </c>
      <c r="H587" s="184" t="s">
        <v>101</v>
      </c>
      <c r="T587" s="184" t="s">
        <v>648</v>
      </c>
    </row>
    <row r="588" spans="1:20">
      <c r="A588" s="182">
        <v>44487</v>
      </c>
      <c r="B588" s="183">
        <v>0.58944444444444444</v>
      </c>
      <c r="C588" s="184" t="s">
        <v>73</v>
      </c>
      <c r="D588" s="184" t="s">
        <v>68</v>
      </c>
      <c r="E588" s="184" t="s">
        <v>85</v>
      </c>
      <c r="F588" s="182">
        <v>44502</v>
      </c>
      <c r="G588" s="186" t="s">
        <v>94</v>
      </c>
      <c r="H588" s="184" t="s">
        <v>256</v>
      </c>
      <c r="T588" s="184" t="s">
        <v>456</v>
      </c>
    </row>
    <row r="589" spans="1:20">
      <c r="A589" s="182">
        <v>44487</v>
      </c>
      <c r="B589" s="183">
        <v>0.63156250000000003</v>
      </c>
      <c r="C589" s="184" t="s">
        <v>73</v>
      </c>
      <c r="D589" s="184" t="s">
        <v>78</v>
      </c>
      <c r="E589" s="184" t="s">
        <v>96</v>
      </c>
      <c r="F589" s="182">
        <v>44508</v>
      </c>
      <c r="G589" s="186" t="s">
        <v>99</v>
      </c>
      <c r="H589" s="184" t="s">
        <v>267</v>
      </c>
    </row>
    <row r="590" spans="1:20">
      <c r="A590" s="182">
        <v>44487</v>
      </c>
      <c r="B590" s="183">
        <v>0.63172453703703701</v>
      </c>
      <c r="C590" s="184" t="s">
        <v>73</v>
      </c>
      <c r="D590" s="184" t="s">
        <v>78</v>
      </c>
      <c r="E590" s="184" t="s">
        <v>96</v>
      </c>
      <c r="F590" s="182">
        <v>44638</v>
      </c>
      <c r="G590" s="186" t="s">
        <v>70</v>
      </c>
      <c r="H590" s="184" t="s">
        <v>86</v>
      </c>
    </row>
    <row r="591" spans="1:20">
      <c r="A591" s="182">
        <v>44487</v>
      </c>
      <c r="B591" s="183">
        <v>0.63226851851851851</v>
      </c>
      <c r="C591" s="184" t="s">
        <v>73</v>
      </c>
      <c r="D591" s="184" t="s">
        <v>68</v>
      </c>
      <c r="E591" s="184" t="s">
        <v>96</v>
      </c>
      <c r="F591" s="182">
        <v>44508</v>
      </c>
      <c r="G591" s="186" t="s">
        <v>94</v>
      </c>
      <c r="H591" s="184" t="s">
        <v>231</v>
      </c>
      <c r="T591" s="184" t="s">
        <v>411</v>
      </c>
    </row>
    <row r="592" spans="1:20">
      <c r="A592" s="182">
        <v>44488</v>
      </c>
      <c r="B592" s="183">
        <v>0.6361458333333333</v>
      </c>
      <c r="C592" s="184" t="s">
        <v>67</v>
      </c>
      <c r="D592" s="184" t="s">
        <v>68</v>
      </c>
      <c r="E592" s="184" t="s">
        <v>89</v>
      </c>
      <c r="F592" s="182">
        <v>44505</v>
      </c>
      <c r="G592" s="186" t="s">
        <v>94</v>
      </c>
      <c r="H592" s="184" t="s">
        <v>76</v>
      </c>
      <c r="T592" s="184" t="s">
        <v>649</v>
      </c>
    </row>
    <row r="593" spans="1:20">
      <c r="A593" s="182">
        <v>44489</v>
      </c>
      <c r="B593" s="183">
        <v>0.45688657407407413</v>
      </c>
      <c r="C593" s="184" t="s">
        <v>67</v>
      </c>
      <c r="D593" s="184" t="s">
        <v>68</v>
      </c>
      <c r="E593" s="184" t="s">
        <v>96</v>
      </c>
      <c r="F593" s="182">
        <v>44638</v>
      </c>
      <c r="G593" s="186" t="s">
        <v>99</v>
      </c>
      <c r="H593" s="184" t="s">
        <v>87</v>
      </c>
      <c r="T593" s="184" t="s">
        <v>644</v>
      </c>
    </row>
    <row r="594" spans="1:20">
      <c r="A594" s="182">
        <v>44489</v>
      </c>
      <c r="B594" s="183">
        <v>0.46273148148148152</v>
      </c>
      <c r="C594" s="184" t="s">
        <v>67</v>
      </c>
      <c r="D594" s="184" t="s">
        <v>68</v>
      </c>
      <c r="E594" s="184" t="s">
        <v>96</v>
      </c>
      <c r="F594" s="182">
        <v>44638</v>
      </c>
      <c r="G594" s="186" t="s">
        <v>99</v>
      </c>
      <c r="H594" s="184" t="s">
        <v>76</v>
      </c>
      <c r="T594" s="184" t="s">
        <v>650</v>
      </c>
    </row>
    <row r="595" spans="1:20">
      <c r="A595" s="182">
        <v>44489</v>
      </c>
      <c r="B595" s="183">
        <v>0.46335648148148145</v>
      </c>
      <c r="C595" s="184" t="s">
        <v>67</v>
      </c>
      <c r="D595" s="184" t="s">
        <v>68</v>
      </c>
      <c r="E595" s="184" t="s">
        <v>96</v>
      </c>
      <c r="F595" s="182">
        <v>44638</v>
      </c>
      <c r="G595" s="186" t="s">
        <v>94</v>
      </c>
      <c r="H595" s="184" t="s">
        <v>87</v>
      </c>
      <c r="T595" s="184" t="s">
        <v>650</v>
      </c>
    </row>
    <row r="596" spans="1:20">
      <c r="A596" s="182">
        <v>44489</v>
      </c>
      <c r="B596" s="183">
        <v>0.49339120370370365</v>
      </c>
      <c r="C596" s="184" t="s">
        <v>73</v>
      </c>
      <c r="D596" s="184" t="s">
        <v>68</v>
      </c>
      <c r="E596" s="184" t="s">
        <v>96</v>
      </c>
      <c r="F596" s="182">
        <v>44583</v>
      </c>
      <c r="G596" s="186" t="s">
        <v>99</v>
      </c>
      <c r="H596" s="184" t="s">
        <v>103</v>
      </c>
      <c r="T596" s="184" t="s">
        <v>411</v>
      </c>
    </row>
    <row r="597" spans="1:20">
      <c r="A597" s="182">
        <v>44489</v>
      </c>
      <c r="B597" s="183">
        <v>0.55971064814814808</v>
      </c>
      <c r="C597" s="184" t="s">
        <v>67</v>
      </c>
      <c r="D597" s="184" t="s">
        <v>68</v>
      </c>
      <c r="E597" s="184" t="s">
        <v>69</v>
      </c>
      <c r="F597" s="182">
        <v>44533</v>
      </c>
      <c r="G597" s="186" t="s">
        <v>115</v>
      </c>
      <c r="H597" s="184" t="s">
        <v>101</v>
      </c>
      <c r="T597" s="184" t="s">
        <v>643</v>
      </c>
    </row>
    <row r="598" spans="1:20">
      <c r="A598" s="182">
        <v>44489</v>
      </c>
      <c r="B598" s="183">
        <v>0.5600694444444444</v>
      </c>
      <c r="C598" s="184" t="s">
        <v>67</v>
      </c>
      <c r="D598" s="184" t="s">
        <v>91</v>
      </c>
      <c r="E598" s="184" t="s">
        <v>69</v>
      </c>
      <c r="F598" s="182">
        <v>44533</v>
      </c>
      <c r="G598" s="186" t="s">
        <v>114</v>
      </c>
      <c r="H598" s="184" t="s">
        <v>296</v>
      </c>
    </row>
    <row r="599" spans="1:20">
      <c r="A599" s="182">
        <v>44489</v>
      </c>
      <c r="B599" s="183">
        <v>0.60568287037037039</v>
      </c>
      <c r="C599" s="184" t="s">
        <v>73</v>
      </c>
      <c r="D599" s="184" t="s">
        <v>91</v>
      </c>
      <c r="E599" s="184" t="s">
        <v>69</v>
      </c>
      <c r="F599" s="182">
        <v>44533</v>
      </c>
      <c r="G599" s="186" t="s">
        <v>115</v>
      </c>
      <c r="H599" s="184" t="s">
        <v>337</v>
      </c>
    </row>
    <row r="600" spans="1:20">
      <c r="A600" s="182">
        <v>44489</v>
      </c>
      <c r="B600" s="183">
        <v>0.60589120370370375</v>
      </c>
      <c r="C600" s="184" t="s">
        <v>73</v>
      </c>
      <c r="D600" s="184" t="s">
        <v>78</v>
      </c>
      <c r="E600" s="184" t="s">
        <v>69</v>
      </c>
      <c r="F600" s="182">
        <v>44533</v>
      </c>
      <c r="G600" s="186" t="s">
        <v>114</v>
      </c>
      <c r="H600" s="184" t="s">
        <v>98</v>
      </c>
    </row>
    <row r="601" spans="1:20">
      <c r="A601" s="182">
        <v>44489</v>
      </c>
      <c r="B601" s="183">
        <v>0.6088541666666667</v>
      </c>
      <c r="C601" s="184" t="s">
        <v>73</v>
      </c>
      <c r="D601" s="184" t="s">
        <v>68</v>
      </c>
      <c r="E601" s="184" t="s">
        <v>85</v>
      </c>
      <c r="F601" s="182">
        <v>44502</v>
      </c>
      <c r="G601" s="186" t="s">
        <v>94</v>
      </c>
      <c r="H601" s="184" t="s">
        <v>305</v>
      </c>
      <c r="T601" s="184" t="s">
        <v>570</v>
      </c>
    </row>
    <row r="602" spans="1:20">
      <c r="A602" s="182">
        <v>44490</v>
      </c>
      <c r="B602" s="183">
        <v>0.38907407407407407</v>
      </c>
      <c r="C602" s="184" t="s">
        <v>67</v>
      </c>
      <c r="D602" s="184" t="s">
        <v>68</v>
      </c>
      <c r="E602" s="184" t="s">
        <v>19</v>
      </c>
      <c r="F602" s="182">
        <v>44504</v>
      </c>
      <c r="G602" s="186" t="s">
        <v>99</v>
      </c>
      <c r="H602" s="184" t="s">
        <v>305</v>
      </c>
      <c r="T602" s="184" t="s">
        <v>630</v>
      </c>
    </row>
    <row r="603" spans="1:20">
      <c r="A603" s="182">
        <v>44490</v>
      </c>
      <c r="B603" s="183">
        <v>0.44318287037037035</v>
      </c>
      <c r="C603" s="184" t="s">
        <v>67</v>
      </c>
      <c r="D603" s="184" t="s">
        <v>78</v>
      </c>
      <c r="E603" s="184" t="s">
        <v>96</v>
      </c>
      <c r="F603" s="182">
        <v>44508</v>
      </c>
      <c r="G603" s="186" t="s">
        <v>99</v>
      </c>
      <c r="H603" s="184" t="s">
        <v>288</v>
      </c>
    </row>
    <row r="604" spans="1:20">
      <c r="A604" s="182">
        <v>44490</v>
      </c>
      <c r="B604" s="183">
        <v>0.44665509259259256</v>
      </c>
      <c r="C604" s="184" t="s">
        <v>67</v>
      </c>
      <c r="D604" s="184" t="s">
        <v>68</v>
      </c>
      <c r="E604" s="184" t="s">
        <v>96</v>
      </c>
      <c r="F604" s="182">
        <v>44508</v>
      </c>
      <c r="G604" s="186" t="s">
        <v>94</v>
      </c>
      <c r="H604" s="184" t="s">
        <v>239</v>
      </c>
      <c r="T604" s="184" t="s">
        <v>651</v>
      </c>
    </row>
    <row r="605" spans="1:20">
      <c r="A605" s="182">
        <v>44490</v>
      </c>
      <c r="B605" s="183">
        <v>0.45217592592592593</v>
      </c>
      <c r="C605" s="184" t="s">
        <v>67</v>
      </c>
      <c r="D605" s="184" t="s">
        <v>68</v>
      </c>
      <c r="E605" s="184" t="s">
        <v>96</v>
      </c>
      <c r="F605" s="182">
        <v>44583</v>
      </c>
      <c r="G605" s="186" t="s">
        <v>99</v>
      </c>
      <c r="H605" s="184" t="s">
        <v>101</v>
      </c>
      <c r="T605" s="184" t="s">
        <v>652</v>
      </c>
    </row>
    <row r="606" spans="1:20">
      <c r="A606" s="182">
        <v>44490</v>
      </c>
      <c r="B606" s="183">
        <v>0.48969907407407409</v>
      </c>
      <c r="C606" s="184" t="s">
        <v>67</v>
      </c>
      <c r="D606" s="184" t="s">
        <v>68</v>
      </c>
      <c r="E606" s="184" t="s">
        <v>89</v>
      </c>
      <c r="F606" s="182">
        <v>44505</v>
      </c>
      <c r="G606" s="186" t="s">
        <v>94</v>
      </c>
      <c r="H606" s="184" t="s">
        <v>87</v>
      </c>
      <c r="T606" s="184" t="s">
        <v>397</v>
      </c>
    </row>
    <row r="607" spans="1:20">
      <c r="A607" s="182">
        <v>44490</v>
      </c>
      <c r="B607" s="183">
        <v>0.65400462962962969</v>
      </c>
      <c r="C607" s="184" t="s">
        <v>67</v>
      </c>
      <c r="D607" s="184" t="s">
        <v>78</v>
      </c>
      <c r="E607" s="184" t="s">
        <v>96</v>
      </c>
      <c r="F607" s="182">
        <v>44583</v>
      </c>
      <c r="G607" s="186" t="s">
        <v>70</v>
      </c>
      <c r="H607" s="184" t="s">
        <v>86</v>
      </c>
    </row>
    <row r="608" spans="1:20">
      <c r="A608" s="182">
        <v>44490</v>
      </c>
      <c r="B608" s="183">
        <v>0.65434027777777781</v>
      </c>
      <c r="C608" s="184" t="s">
        <v>67</v>
      </c>
      <c r="D608" s="184" t="s">
        <v>78</v>
      </c>
      <c r="E608" s="184" t="s">
        <v>45</v>
      </c>
      <c r="F608" s="182">
        <v>44526</v>
      </c>
      <c r="G608" s="186" t="s">
        <v>94</v>
      </c>
      <c r="H608" s="184" t="s">
        <v>267</v>
      </c>
    </row>
    <row r="609" spans="1:20">
      <c r="A609" s="182">
        <v>44491</v>
      </c>
      <c r="B609" s="183">
        <v>0.56347222222222226</v>
      </c>
      <c r="C609" s="184" t="s">
        <v>73</v>
      </c>
      <c r="D609" s="184" t="s">
        <v>91</v>
      </c>
      <c r="E609" s="184" t="s">
        <v>19</v>
      </c>
      <c r="F609" s="182">
        <v>44504</v>
      </c>
      <c r="G609" s="186" t="s">
        <v>94</v>
      </c>
      <c r="H609" s="184" t="s">
        <v>295</v>
      </c>
    </row>
    <row r="610" spans="1:20">
      <c r="A610" s="182">
        <v>44494</v>
      </c>
      <c r="B610" s="183">
        <v>0.42527777777777781</v>
      </c>
      <c r="C610" s="184" t="s">
        <v>67</v>
      </c>
      <c r="D610" s="184" t="s">
        <v>78</v>
      </c>
      <c r="E610" s="184" t="s">
        <v>69</v>
      </c>
      <c r="F610" s="182">
        <v>44533</v>
      </c>
      <c r="G610" s="186" t="s">
        <v>114</v>
      </c>
      <c r="H610" s="184" t="s">
        <v>84</v>
      </c>
    </row>
    <row r="611" spans="1:20">
      <c r="A611" s="182">
        <v>44494</v>
      </c>
      <c r="B611" s="183">
        <v>0.43589120370370371</v>
      </c>
      <c r="C611" s="184" t="s">
        <v>67</v>
      </c>
      <c r="D611" s="184" t="s">
        <v>78</v>
      </c>
      <c r="E611" s="184" t="s">
        <v>69</v>
      </c>
      <c r="F611" s="182">
        <v>44533</v>
      </c>
      <c r="G611" s="186" t="s">
        <v>94</v>
      </c>
      <c r="H611" s="184" t="s">
        <v>297</v>
      </c>
    </row>
    <row r="612" spans="1:20">
      <c r="A612" s="182">
        <v>44494</v>
      </c>
      <c r="B612" s="183">
        <v>0.60829861111111116</v>
      </c>
      <c r="C612" s="184" t="s">
        <v>67</v>
      </c>
      <c r="D612" s="184" t="s">
        <v>91</v>
      </c>
      <c r="E612" s="184" t="s">
        <v>45</v>
      </c>
      <c r="F612" s="182">
        <v>44526</v>
      </c>
      <c r="G612" s="186" t="s">
        <v>94</v>
      </c>
      <c r="H612" s="184" t="s">
        <v>189</v>
      </c>
    </row>
    <row r="613" spans="1:20">
      <c r="A613" s="182">
        <v>44495</v>
      </c>
      <c r="B613" s="183">
        <v>0.47953703703703704</v>
      </c>
      <c r="C613" s="184" t="s">
        <v>67</v>
      </c>
      <c r="D613" s="184" t="s">
        <v>91</v>
      </c>
      <c r="E613" s="184" t="s">
        <v>19</v>
      </c>
      <c r="F613" s="182">
        <v>44573</v>
      </c>
      <c r="G613" s="186" t="s">
        <v>75</v>
      </c>
      <c r="H613" s="184" t="s">
        <v>229</v>
      </c>
    </row>
    <row r="614" spans="1:20">
      <c r="A614" s="182">
        <v>44495</v>
      </c>
      <c r="B614" s="183">
        <v>0.47976851851851854</v>
      </c>
      <c r="C614" s="184" t="s">
        <v>67</v>
      </c>
      <c r="D614" s="184" t="s">
        <v>91</v>
      </c>
      <c r="E614" s="184" t="s">
        <v>124</v>
      </c>
      <c r="F614" s="182">
        <v>44589</v>
      </c>
      <c r="G614" s="186" t="s">
        <v>94</v>
      </c>
      <c r="H614" s="184" t="s">
        <v>229</v>
      </c>
    </row>
    <row r="615" spans="1:20">
      <c r="A615" s="182">
        <v>44495</v>
      </c>
      <c r="B615" s="183">
        <v>0.60825231481481479</v>
      </c>
      <c r="C615" s="184" t="s">
        <v>67</v>
      </c>
      <c r="D615" s="184" t="s">
        <v>68</v>
      </c>
      <c r="E615" s="184" t="s">
        <v>45</v>
      </c>
      <c r="F615" s="182">
        <v>44526</v>
      </c>
      <c r="G615" s="186" t="s">
        <v>94</v>
      </c>
      <c r="H615" s="184" t="s">
        <v>305</v>
      </c>
      <c r="T615" s="184" t="s">
        <v>653</v>
      </c>
    </row>
    <row r="616" spans="1:20">
      <c r="A616" s="182">
        <v>44496</v>
      </c>
      <c r="B616" s="183">
        <v>0.49952546296296302</v>
      </c>
      <c r="C616" s="184" t="s">
        <v>73</v>
      </c>
      <c r="D616" s="184" t="s">
        <v>68</v>
      </c>
      <c r="E616" s="184" t="s">
        <v>19</v>
      </c>
      <c r="F616" s="182">
        <v>44573</v>
      </c>
      <c r="G616" s="186" t="s">
        <v>99</v>
      </c>
      <c r="H616" s="184" t="s">
        <v>87</v>
      </c>
      <c r="T616" s="184" t="s">
        <v>234</v>
      </c>
    </row>
    <row r="617" spans="1:20">
      <c r="A617" s="182">
        <v>44497</v>
      </c>
      <c r="B617" s="183">
        <v>0.60817129629629629</v>
      </c>
      <c r="C617" s="184" t="s">
        <v>67</v>
      </c>
      <c r="D617" s="184" t="s">
        <v>68</v>
      </c>
      <c r="E617" s="184" t="s">
        <v>96</v>
      </c>
      <c r="F617" s="182">
        <v>44508</v>
      </c>
      <c r="G617" s="186" t="s">
        <v>99</v>
      </c>
      <c r="H617" s="184" t="s">
        <v>231</v>
      </c>
      <c r="T617" s="184" t="s">
        <v>118</v>
      </c>
    </row>
    <row r="618" spans="1:20">
      <c r="A618" s="182">
        <v>44497</v>
      </c>
      <c r="B618" s="183">
        <v>0.60920138888888886</v>
      </c>
      <c r="C618" s="184" t="s">
        <v>67</v>
      </c>
      <c r="D618" s="184" t="s">
        <v>68</v>
      </c>
      <c r="E618" s="184" t="s">
        <v>96</v>
      </c>
      <c r="F618" s="182">
        <v>44583</v>
      </c>
      <c r="G618" s="186" t="s">
        <v>94</v>
      </c>
      <c r="H618" s="184" t="s">
        <v>103</v>
      </c>
      <c r="T618" s="184" t="s">
        <v>118</v>
      </c>
    </row>
    <row r="619" spans="1:20">
      <c r="A619" s="182">
        <v>44497</v>
      </c>
      <c r="B619" s="183">
        <v>0.62003472222222222</v>
      </c>
      <c r="C619" s="184" t="s">
        <v>67</v>
      </c>
      <c r="D619" s="184" t="s">
        <v>68</v>
      </c>
      <c r="E619" s="184" t="s">
        <v>96</v>
      </c>
      <c r="F619" s="182">
        <v>44508</v>
      </c>
      <c r="G619" s="186" t="s">
        <v>94</v>
      </c>
      <c r="H619" s="184" t="s">
        <v>239</v>
      </c>
      <c r="T619" s="184" t="s">
        <v>654</v>
      </c>
    </row>
    <row r="620" spans="1:20">
      <c r="A620" s="182">
        <v>44497</v>
      </c>
      <c r="B620" s="183">
        <v>0.66215277777777781</v>
      </c>
      <c r="C620" s="184" t="s">
        <v>67</v>
      </c>
      <c r="D620" s="184" t="s">
        <v>68</v>
      </c>
      <c r="E620" s="184" t="s">
        <v>69</v>
      </c>
      <c r="F620" s="182">
        <v>44533</v>
      </c>
      <c r="G620" s="186" t="s">
        <v>94</v>
      </c>
      <c r="H620" s="184" t="s">
        <v>103</v>
      </c>
      <c r="T620" s="184" t="s">
        <v>655</v>
      </c>
    </row>
    <row r="621" spans="1:20">
      <c r="A621" s="182">
        <v>44497</v>
      </c>
      <c r="B621" s="183">
        <v>0.66680555555555554</v>
      </c>
      <c r="C621" s="184" t="s">
        <v>67</v>
      </c>
      <c r="D621" s="184" t="s">
        <v>68</v>
      </c>
      <c r="E621" s="184" t="s">
        <v>69</v>
      </c>
      <c r="F621" s="182">
        <v>44533</v>
      </c>
      <c r="G621" s="186" t="s">
        <v>99</v>
      </c>
      <c r="H621" s="184" t="s">
        <v>101</v>
      </c>
      <c r="T621" s="184" t="s">
        <v>655</v>
      </c>
    </row>
    <row r="622" spans="1:20">
      <c r="A622" s="182">
        <v>44498</v>
      </c>
      <c r="B622" s="183">
        <v>0.4375</v>
      </c>
      <c r="C622" s="184" t="s">
        <v>73</v>
      </c>
      <c r="D622" s="184" t="s">
        <v>68</v>
      </c>
      <c r="E622" s="184" t="s">
        <v>69</v>
      </c>
      <c r="F622" s="182">
        <v>44533</v>
      </c>
      <c r="G622" s="186" t="s">
        <v>94</v>
      </c>
      <c r="H622" s="184" t="s">
        <v>103</v>
      </c>
      <c r="T622" s="184" t="s">
        <v>309</v>
      </c>
    </row>
    <row r="623" spans="1:20">
      <c r="A623" s="182">
        <v>44498</v>
      </c>
      <c r="B623" s="183">
        <v>0.71275462962962965</v>
      </c>
      <c r="C623" s="184" t="s">
        <v>67</v>
      </c>
      <c r="D623" s="184" t="s">
        <v>68</v>
      </c>
      <c r="E623" s="184" t="s">
        <v>19</v>
      </c>
      <c r="F623" s="182">
        <v>44573</v>
      </c>
      <c r="G623" s="186" t="s">
        <v>94</v>
      </c>
      <c r="H623" s="184" t="s">
        <v>101</v>
      </c>
      <c r="T623" s="184" t="s">
        <v>88</v>
      </c>
    </row>
    <row r="624" spans="1:20">
      <c r="A624" s="182">
        <v>44501</v>
      </c>
      <c r="B624" s="183">
        <v>0.37991898148148145</v>
      </c>
      <c r="C624" s="184" t="s">
        <v>67</v>
      </c>
      <c r="D624" s="184" t="s">
        <v>78</v>
      </c>
      <c r="E624" s="184" t="s">
        <v>45</v>
      </c>
      <c r="F624" s="182">
        <v>44526</v>
      </c>
      <c r="G624" s="186" t="s">
        <v>94</v>
      </c>
      <c r="H624" s="184" t="s">
        <v>327</v>
      </c>
    </row>
    <row r="625" spans="1:20">
      <c r="A625" s="182">
        <v>44501</v>
      </c>
      <c r="B625" s="183">
        <v>0.42925925925925923</v>
      </c>
      <c r="C625" s="184" t="s">
        <v>67</v>
      </c>
      <c r="D625" s="184" t="s">
        <v>68</v>
      </c>
      <c r="E625" s="184" t="s">
        <v>19</v>
      </c>
      <c r="F625" s="182">
        <v>44573</v>
      </c>
      <c r="G625" s="186" t="s">
        <v>75</v>
      </c>
      <c r="H625" s="184" t="s">
        <v>182</v>
      </c>
      <c r="T625" s="184" t="s">
        <v>656</v>
      </c>
    </row>
    <row r="626" spans="1:20">
      <c r="A626" s="182">
        <v>44502</v>
      </c>
      <c r="B626" s="183">
        <v>0.40961805555555553</v>
      </c>
      <c r="C626" s="184" t="s">
        <v>73</v>
      </c>
      <c r="D626" s="184" t="s">
        <v>68</v>
      </c>
      <c r="E626" s="184" t="s">
        <v>69</v>
      </c>
      <c r="F626" s="182">
        <v>44610</v>
      </c>
      <c r="G626" s="186" t="s">
        <v>112</v>
      </c>
      <c r="H626" s="184" t="s">
        <v>273</v>
      </c>
      <c r="T626" s="184" t="s">
        <v>657</v>
      </c>
    </row>
    <row r="627" spans="1:20">
      <c r="A627" s="182">
        <v>44502</v>
      </c>
      <c r="B627" s="183">
        <v>0.64449074074074075</v>
      </c>
      <c r="C627" s="184" t="s">
        <v>73</v>
      </c>
      <c r="D627" s="184" t="s">
        <v>68</v>
      </c>
      <c r="E627" s="184" t="s">
        <v>96</v>
      </c>
      <c r="F627" s="182">
        <v>44583</v>
      </c>
      <c r="G627" s="186" t="s">
        <v>94</v>
      </c>
      <c r="H627" s="184" t="s">
        <v>182</v>
      </c>
      <c r="T627" s="184" t="s">
        <v>257</v>
      </c>
    </row>
    <row r="628" spans="1:20">
      <c r="A628" s="182">
        <v>44504</v>
      </c>
      <c r="B628" s="183">
        <v>0.5798726851851852</v>
      </c>
      <c r="C628" s="184" t="s">
        <v>67</v>
      </c>
      <c r="D628" s="184" t="s">
        <v>78</v>
      </c>
      <c r="E628" s="184" t="s">
        <v>69</v>
      </c>
      <c r="F628" s="182">
        <v>44533</v>
      </c>
      <c r="G628" s="186" t="s">
        <v>114</v>
      </c>
      <c r="H628" s="184" t="s">
        <v>186</v>
      </c>
    </row>
    <row r="629" spans="1:20">
      <c r="A629" s="182">
        <v>44504</v>
      </c>
      <c r="B629" s="183">
        <v>0.66841435185185183</v>
      </c>
      <c r="C629" s="184" t="s">
        <v>73</v>
      </c>
      <c r="D629" s="184" t="s">
        <v>68</v>
      </c>
      <c r="E629" s="184" t="s">
        <v>45</v>
      </c>
      <c r="F629" s="182">
        <v>44526</v>
      </c>
      <c r="G629" s="186" t="s">
        <v>94</v>
      </c>
      <c r="H629" s="184" t="s">
        <v>322</v>
      </c>
      <c r="T629" s="184" t="s">
        <v>249</v>
      </c>
    </row>
    <row r="630" spans="1:20">
      <c r="A630" s="182">
        <v>44504</v>
      </c>
      <c r="B630" s="183">
        <v>0.67561342592592588</v>
      </c>
      <c r="C630" s="184" t="s">
        <v>67</v>
      </c>
      <c r="D630" s="184" t="s">
        <v>78</v>
      </c>
      <c r="E630" s="184" t="s">
        <v>69</v>
      </c>
      <c r="F630" s="182">
        <v>44533</v>
      </c>
      <c r="G630" s="186" t="s">
        <v>94</v>
      </c>
      <c r="H630" s="184" t="s">
        <v>208</v>
      </c>
    </row>
    <row r="631" spans="1:20">
      <c r="A631" s="182">
        <v>44505</v>
      </c>
      <c r="B631" s="183">
        <v>0.55336805555555557</v>
      </c>
      <c r="C631" s="184" t="s">
        <v>73</v>
      </c>
      <c r="D631" s="184" t="s">
        <v>68</v>
      </c>
      <c r="E631" s="184" t="s">
        <v>45</v>
      </c>
      <c r="F631" s="182">
        <v>44526</v>
      </c>
      <c r="G631" s="186" t="s">
        <v>94</v>
      </c>
      <c r="H631" s="184" t="s">
        <v>185</v>
      </c>
      <c r="T631" s="184" t="s">
        <v>658</v>
      </c>
    </row>
    <row r="632" spans="1:20">
      <c r="A632" s="182">
        <v>44508</v>
      </c>
      <c r="B632" s="183">
        <v>0.47141203703703699</v>
      </c>
      <c r="C632" s="184" t="s">
        <v>67</v>
      </c>
      <c r="D632" s="184" t="s">
        <v>78</v>
      </c>
      <c r="E632" s="184" t="s">
        <v>69</v>
      </c>
      <c r="F632" s="182">
        <v>44533</v>
      </c>
      <c r="G632" s="186" t="s">
        <v>94</v>
      </c>
      <c r="H632" s="184" t="s">
        <v>268</v>
      </c>
    </row>
    <row r="633" spans="1:20">
      <c r="A633" s="182">
        <v>44508</v>
      </c>
      <c r="B633" s="183">
        <v>0.70462962962962961</v>
      </c>
      <c r="C633" s="184" t="s">
        <v>73</v>
      </c>
      <c r="D633" s="184" t="s">
        <v>68</v>
      </c>
      <c r="E633" s="184" t="s">
        <v>124</v>
      </c>
      <c r="F633" s="182">
        <v>44589</v>
      </c>
      <c r="G633" s="186" t="s">
        <v>99</v>
      </c>
      <c r="H633" s="184" t="s">
        <v>206</v>
      </c>
      <c r="T633" s="184" t="s">
        <v>541</v>
      </c>
    </row>
    <row r="634" spans="1:20">
      <c r="A634" s="182">
        <v>44510</v>
      </c>
      <c r="B634" s="183">
        <v>0.43274305555555559</v>
      </c>
      <c r="C634" s="184" t="s">
        <v>73</v>
      </c>
      <c r="D634" s="184" t="s">
        <v>91</v>
      </c>
      <c r="E634" s="184" t="s">
        <v>45</v>
      </c>
      <c r="F634" s="182">
        <v>44526</v>
      </c>
      <c r="G634" s="186" t="s">
        <v>99</v>
      </c>
      <c r="H634" s="184" t="s">
        <v>229</v>
      </c>
    </row>
    <row r="635" spans="1:20">
      <c r="A635" s="182">
        <v>44510</v>
      </c>
      <c r="B635" s="183">
        <v>0.43289351851851854</v>
      </c>
      <c r="C635" s="184" t="s">
        <v>73</v>
      </c>
      <c r="D635" s="184" t="s">
        <v>91</v>
      </c>
      <c r="E635" s="184" t="s">
        <v>45</v>
      </c>
      <c r="F635" s="182">
        <v>44611</v>
      </c>
      <c r="G635" s="186" t="s">
        <v>504</v>
      </c>
      <c r="H635" s="184" t="s">
        <v>229</v>
      </c>
    </row>
    <row r="636" spans="1:20">
      <c r="A636" s="182">
        <v>44510</v>
      </c>
      <c r="B636" s="183">
        <v>0.55481481481481476</v>
      </c>
      <c r="C636" s="184" t="s">
        <v>73</v>
      </c>
      <c r="D636" s="184" t="s">
        <v>68</v>
      </c>
      <c r="E636" s="184" t="s">
        <v>69</v>
      </c>
      <c r="F636" s="182">
        <v>44533</v>
      </c>
      <c r="G636" s="186" t="s">
        <v>94</v>
      </c>
      <c r="H636" s="184" t="s">
        <v>182</v>
      </c>
      <c r="T636" s="184" t="s">
        <v>659</v>
      </c>
    </row>
    <row r="637" spans="1:20">
      <c r="A637" s="182">
        <v>44510</v>
      </c>
      <c r="B637" s="183">
        <v>0.6878009259259259</v>
      </c>
      <c r="C637" s="184" t="s">
        <v>73</v>
      </c>
      <c r="D637" s="184" t="s">
        <v>68</v>
      </c>
      <c r="E637" s="184" t="s">
        <v>96</v>
      </c>
      <c r="F637" s="182">
        <v>44583</v>
      </c>
      <c r="G637" s="186" t="s">
        <v>94</v>
      </c>
      <c r="H637" s="184" t="s">
        <v>117</v>
      </c>
      <c r="T637" s="184" t="s">
        <v>660</v>
      </c>
    </row>
    <row r="638" spans="1:20">
      <c r="A638" s="182">
        <v>44511</v>
      </c>
      <c r="B638" s="183">
        <v>0.42598379629629629</v>
      </c>
      <c r="C638" s="184" t="s">
        <v>67</v>
      </c>
      <c r="D638" s="184" t="s">
        <v>68</v>
      </c>
      <c r="E638" s="184" t="s">
        <v>69</v>
      </c>
      <c r="F638" s="182">
        <v>44533</v>
      </c>
      <c r="G638" s="186" t="s">
        <v>112</v>
      </c>
      <c r="H638" s="184" t="s">
        <v>273</v>
      </c>
      <c r="T638" s="184" t="s">
        <v>661</v>
      </c>
    </row>
    <row r="639" spans="1:20">
      <c r="A639" s="182">
        <v>44511</v>
      </c>
      <c r="B639" s="183">
        <v>0.44366898148148143</v>
      </c>
      <c r="C639" s="184" t="s">
        <v>67</v>
      </c>
      <c r="D639" s="184" t="s">
        <v>91</v>
      </c>
      <c r="E639" s="184" t="s">
        <v>69</v>
      </c>
      <c r="F639" s="182">
        <v>44533</v>
      </c>
      <c r="G639" s="186" t="s">
        <v>112</v>
      </c>
      <c r="H639" s="184" t="s">
        <v>303</v>
      </c>
    </row>
    <row r="640" spans="1:20">
      <c r="A640" s="182">
        <v>44512</v>
      </c>
      <c r="B640" s="183">
        <v>0.66054398148148141</v>
      </c>
      <c r="C640" s="184" t="s">
        <v>73</v>
      </c>
      <c r="D640" s="184" t="s">
        <v>78</v>
      </c>
      <c r="E640" s="184" t="s">
        <v>69</v>
      </c>
      <c r="F640" s="182">
        <v>44610</v>
      </c>
      <c r="G640" s="186" t="s">
        <v>70</v>
      </c>
      <c r="H640" s="184" t="s">
        <v>86</v>
      </c>
    </row>
    <row r="641" spans="1:20">
      <c r="A641" s="182">
        <v>44515</v>
      </c>
      <c r="B641" s="183">
        <v>0.59241898148148142</v>
      </c>
      <c r="C641" s="184" t="s">
        <v>73</v>
      </c>
      <c r="D641" s="184" t="s">
        <v>68</v>
      </c>
      <c r="E641" s="184" t="s">
        <v>96</v>
      </c>
      <c r="F641" s="182">
        <v>44583</v>
      </c>
      <c r="G641" s="186" t="s">
        <v>94</v>
      </c>
      <c r="H641" s="184" t="s">
        <v>259</v>
      </c>
      <c r="T641" s="184" t="s">
        <v>662</v>
      </c>
    </row>
    <row r="642" spans="1:20">
      <c r="A642" s="182">
        <v>44516</v>
      </c>
      <c r="B642" s="183">
        <v>0.39864583333333337</v>
      </c>
      <c r="C642" s="184" t="s">
        <v>67</v>
      </c>
      <c r="D642" s="184" t="s">
        <v>68</v>
      </c>
      <c r="E642" s="184" t="s">
        <v>96</v>
      </c>
      <c r="F642" s="182">
        <v>44583</v>
      </c>
      <c r="G642" s="186" t="s">
        <v>94</v>
      </c>
      <c r="H642" s="184" t="s">
        <v>273</v>
      </c>
      <c r="T642" s="184" t="s">
        <v>110</v>
      </c>
    </row>
    <row r="643" spans="1:20">
      <c r="A643" s="182">
        <v>44516</v>
      </c>
      <c r="B643" s="183">
        <v>0.42126157407407411</v>
      </c>
      <c r="C643" s="184" t="s">
        <v>67</v>
      </c>
      <c r="D643" s="184" t="s">
        <v>78</v>
      </c>
      <c r="E643" s="184" t="s">
        <v>69</v>
      </c>
      <c r="F643" s="182">
        <v>44533</v>
      </c>
      <c r="G643" s="186" t="s">
        <v>94</v>
      </c>
      <c r="H643" s="184" t="s">
        <v>224</v>
      </c>
    </row>
    <row r="644" spans="1:20">
      <c r="A644" s="182">
        <v>44517</v>
      </c>
      <c r="B644" s="183">
        <v>0.50059027777777776</v>
      </c>
      <c r="C644" s="184" t="s">
        <v>67</v>
      </c>
      <c r="D644" s="184" t="s">
        <v>68</v>
      </c>
      <c r="E644" s="184" t="s">
        <v>69</v>
      </c>
      <c r="F644" s="182">
        <v>44610</v>
      </c>
      <c r="G644" s="186" t="s">
        <v>524</v>
      </c>
      <c r="H644" s="184" t="s">
        <v>206</v>
      </c>
      <c r="T644" s="184" t="s">
        <v>663</v>
      </c>
    </row>
    <row r="645" spans="1:20">
      <c r="A645" s="182">
        <v>44517</v>
      </c>
      <c r="B645" s="183">
        <v>0.51320601851851855</v>
      </c>
      <c r="C645" s="184" t="s">
        <v>67</v>
      </c>
      <c r="D645" s="184" t="s">
        <v>68</v>
      </c>
      <c r="E645" s="184" t="s">
        <v>19</v>
      </c>
      <c r="F645" s="182">
        <v>44573</v>
      </c>
      <c r="G645" s="186" t="s">
        <v>70</v>
      </c>
      <c r="H645" s="184" t="s">
        <v>117</v>
      </c>
      <c r="T645" s="184" t="s">
        <v>664</v>
      </c>
    </row>
    <row r="646" spans="1:20">
      <c r="A646" s="182">
        <v>44517</v>
      </c>
      <c r="B646" s="183">
        <v>0.5859375</v>
      </c>
      <c r="C646" s="184" t="s">
        <v>67</v>
      </c>
      <c r="D646" s="184" t="s">
        <v>68</v>
      </c>
      <c r="E646" s="184" t="s">
        <v>96</v>
      </c>
      <c r="F646" s="182">
        <v>44583</v>
      </c>
      <c r="G646" s="186" t="s">
        <v>178</v>
      </c>
      <c r="H646" s="184" t="s">
        <v>322</v>
      </c>
      <c r="T646" s="184" t="s">
        <v>152</v>
      </c>
    </row>
    <row r="647" spans="1:20">
      <c r="A647" s="182">
        <v>44518</v>
      </c>
      <c r="B647" s="183">
        <v>0.37835648148148149</v>
      </c>
      <c r="C647" s="184" t="s">
        <v>67</v>
      </c>
      <c r="D647" s="184" t="s">
        <v>68</v>
      </c>
      <c r="E647" s="184" t="s">
        <v>69</v>
      </c>
      <c r="F647" s="182">
        <v>44610</v>
      </c>
      <c r="G647" s="186" t="s">
        <v>160</v>
      </c>
      <c r="H647" s="184" t="s">
        <v>185</v>
      </c>
      <c r="T647" s="184" t="s">
        <v>657</v>
      </c>
    </row>
    <row r="648" spans="1:20">
      <c r="A648" s="182">
        <v>44518</v>
      </c>
      <c r="B648" s="183">
        <v>0.46438657407407408</v>
      </c>
      <c r="C648" s="184" t="s">
        <v>67</v>
      </c>
      <c r="D648" s="184" t="s">
        <v>68</v>
      </c>
      <c r="E648" s="184" t="s">
        <v>69</v>
      </c>
      <c r="F648" s="182">
        <v>44610</v>
      </c>
      <c r="G648" s="186" t="s">
        <v>524</v>
      </c>
      <c r="H648" s="184" t="s">
        <v>239</v>
      </c>
      <c r="T648" s="184" t="s">
        <v>665</v>
      </c>
    </row>
    <row r="649" spans="1:20">
      <c r="A649" s="182">
        <v>44522</v>
      </c>
      <c r="B649" s="183">
        <v>0.40381944444444445</v>
      </c>
      <c r="C649" s="184" t="s">
        <v>67</v>
      </c>
      <c r="D649" s="184" t="s">
        <v>68</v>
      </c>
      <c r="E649" s="184" t="s">
        <v>69</v>
      </c>
      <c r="F649" s="182">
        <v>44533</v>
      </c>
      <c r="G649" s="186" t="s">
        <v>112</v>
      </c>
      <c r="H649" s="184" t="s">
        <v>256</v>
      </c>
      <c r="T649" s="184" t="s">
        <v>666</v>
      </c>
    </row>
    <row r="650" spans="1:20">
      <c r="A650" s="182">
        <v>44522</v>
      </c>
      <c r="B650" s="183">
        <v>0.41560185185185183</v>
      </c>
      <c r="C650" s="184" t="s">
        <v>67</v>
      </c>
      <c r="D650" s="184" t="s">
        <v>159</v>
      </c>
      <c r="E650" s="184" t="s">
        <v>19</v>
      </c>
      <c r="F650" s="182">
        <v>44573</v>
      </c>
      <c r="G650" s="186" t="s">
        <v>75</v>
      </c>
      <c r="H650" s="184" t="s">
        <v>215</v>
      </c>
    </row>
    <row r="651" spans="1:20">
      <c r="A651" s="182">
        <v>44522</v>
      </c>
      <c r="B651" s="183">
        <v>0.43395833333333328</v>
      </c>
      <c r="C651" s="184" t="s">
        <v>67</v>
      </c>
      <c r="D651" s="184" t="s">
        <v>68</v>
      </c>
      <c r="E651" s="184" t="s">
        <v>69</v>
      </c>
      <c r="F651" s="182">
        <v>44533</v>
      </c>
      <c r="G651" s="186" t="s">
        <v>94</v>
      </c>
      <c r="H651" s="184" t="s">
        <v>305</v>
      </c>
      <c r="T651" s="184" t="s">
        <v>667</v>
      </c>
    </row>
    <row r="652" spans="1:20">
      <c r="A652" s="182">
        <v>44524</v>
      </c>
      <c r="B652" s="183">
        <v>0.48771990740740739</v>
      </c>
      <c r="C652" s="184" t="s">
        <v>67</v>
      </c>
      <c r="D652" s="184" t="s">
        <v>68</v>
      </c>
      <c r="E652" s="184" t="s">
        <v>96</v>
      </c>
      <c r="F652" s="182">
        <v>44583</v>
      </c>
      <c r="G652" s="186" t="s">
        <v>94</v>
      </c>
      <c r="H652" s="184" t="s">
        <v>185</v>
      </c>
      <c r="T652" s="184" t="s">
        <v>406</v>
      </c>
    </row>
    <row r="653" spans="1:20">
      <c r="A653" s="182">
        <v>44525</v>
      </c>
      <c r="B653" s="183">
        <v>0.42370370370370369</v>
      </c>
      <c r="C653" s="184" t="s">
        <v>67</v>
      </c>
      <c r="D653" s="184" t="s">
        <v>68</v>
      </c>
      <c r="E653" s="184" t="s">
        <v>124</v>
      </c>
      <c r="F653" s="182">
        <v>44589</v>
      </c>
      <c r="G653" s="186" t="s">
        <v>94</v>
      </c>
      <c r="H653" s="184" t="s">
        <v>209</v>
      </c>
      <c r="T653" s="184" t="s">
        <v>161</v>
      </c>
    </row>
    <row r="654" spans="1:20">
      <c r="A654" s="182">
        <v>44525</v>
      </c>
      <c r="B654" s="183">
        <v>0.42524305555555553</v>
      </c>
      <c r="C654" s="184" t="s">
        <v>67</v>
      </c>
      <c r="D654" s="184" t="s">
        <v>78</v>
      </c>
      <c r="E654" s="184" t="s">
        <v>19</v>
      </c>
      <c r="F654" s="182">
        <v>44573</v>
      </c>
      <c r="G654" s="186" t="s">
        <v>114</v>
      </c>
      <c r="H654" s="184" t="s">
        <v>106</v>
      </c>
    </row>
    <row r="655" spans="1:20">
      <c r="A655" s="182">
        <v>44525</v>
      </c>
      <c r="B655" s="183">
        <v>0.44525462962962964</v>
      </c>
      <c r="C655" s="184" t="s">
        <v>67</v>
      </c>
      <c r="D655" s="184" t="s">
        <v>68</v>
      </c>
      <c r="E655" s="184" t="s">
        <v>124</v>
      </c>
      <c r="F655" s="182">
        <v>44589</v>
      </c>
      <c r="G655" s="186" t="s">
        <v>465</v>
      </c>
      <c r="H655" s="184" t="s">
        <v>76</v>
      </c>
      <c r="T655" s="184" t="s">
        <v>668</v>
      </c>
    </row>
    <row r="656" spans="1:20">
      <c r="A656" s="182">
        <v>44525</v>
      </c>
      <c r="B656" s="183">
        <v>0.72312500000000002</v>
      </c>
      <c r="C656" s="184" t="s">
        <v>67</v>
      </c>
      <c r="D656" s="184" t="s">
        <v>78</v>
      </c>
      <c r="E656" s="184" t="s">
        <v>45</v>
      </c>
      <c r="F656" s="182">
        <v>44611</v>
      </c>
      <c r="G656" s="186" t="s">
        <v>94</v>
      </c>
      <c r="H656" s="184" t="s">
        <v>107</v>
      </c>
    </row>
    <row r="657" spans="1:20">
      <c r="A657" s="182">
        <v>44526</v>
      </c>
      <c r="B657" s="183">
        <v>0.45393518518518516</v>
      </c>
      <c r="C657" s="184" t="s">
        <v>73</v>
      </c>
      <c r="D657" s="184" t="s">
        <v>78</v>
      </c>
      <c r="E657" s="184" t="s">
        <v>69</v>
      </c>
      <c r="F657" s="182">
        <v>44533</v>
      </c>
      <c r="G657" s="186" t="s">
        <v>99</v>
      </c>
      <c r="H657" s="184" t="s">
        <v>268</v>
      </c>
    </row>
    <row r="658" spans="1:20">
      <c r="A658" s="182">
        <v>44529</v>
      </c>
      <c r="B658" s="183">
        <v>0.38623842592592594</v>
      </c>
      <c r="C658" s="184" t="s">
        <v>67</v>
      </c>
      <c r="D658" s="184" t="s">
        <v>68</v>
      </c>
      <c r="E658" s="184" t="s">
        <v>45</v>
      </c>
      <c r="F658" s="182">
        <v>44526</v>
      </c>
      <c r="G658" s="186" t="s">
        <v>99</v>
      </c>
      <c r="H658" s="184" t="s">
        <v>322</v>
      </c>
      <c r="T658" s="184" t="s">
        <v>669</v>
      </c>
    </row>
    <row r="659" spans="1:20">
      <c r="A659" s="182">
        <v>44529</v>
      </c>
      <c r="B659" s="183">
        <v>0.38689814814814816</v>
      </c>
      <c r="C659" s="184" t="s">
        <v>67</v>
      </c>
      <c r="D659" s="184" t="s">
        <v>68</v>
      </c>
      <c r="E659" s="184" t="s">
        <v>45</v>
      </c>
      <c r="F659" s="182">
        <v>44611</v>
      </c>
      <c r="G659" s="186" t="s">
        <v>70</v>
      </c>
      <c r="H659" s="184" t="s">
        <v>71</v>
      </c>
      <c r="T659" s="184" t="s">
        <v>669</v>
      </c>
    </row>
    <row r="660" spans="1:20">
      <c r="A660" s="182">
        <v>44529</v>
      </c>
      <c r="B660" s="183">
        <v>0.38718750000000002</v>
      </c>
      <c r="C660" s="184" t="s">
        <v>67</v>
      </c>
      <c r="D660" s="184" t="s">
        <v>78</v>
      </c>
      <c r="E660" s="184" t="s">
        <v>45</v>
      </c>
      <c r="F660" s="182">
        <v>44526</v>
      </c>
      <c r="G660" s="186" t="s">
        <v>99</v>
      </c>
      <c r="H660" s="184" t="s">
        <v>267</v>
      </c>
    </row>
    <row r="661" spans="1:20">
      <c r="A661" s="182">
        <v>44529</v>
      </c>
      <c r="B661" s="183">
        <v>0.38730324074074068</v>
      </c>
      <c r="C661" s="184" t="s">
        <v>67</v>
      </c>
      <c r="D661" s="184" t="s">
        <v>78</v>
      </c>
      <c r="E661" s="184" t="s">
        <v>45</v>
      </c>
      <c r="F661" s="182">
        <v>44611</v>
      </c>
      <c r="G661" s="186" t="s">
        <v>94</v>
      </c>
      <c r="H661" s="184" t="s">
        <v>106</v>
      </c>
    </row>
    <row r="662" spans="1:20">
      <c r="A662" s="182">
        <v>44529</v>
      </c>
      <c r="B662" s="183">
        <v>0.62331018518518522</v>
      </c>
      <c r="C662" s="184" t="s">
        <v>73</v>
      </c>
      <c r="D662" s="184" t="s">
        <v>68</v>
      </c>
      <c r="E662" s="184" t="s">
        <v>69</v>
      </c>
      <c r="F662" s="182">
        <v>44533</v>
      </c>
      <c r="G662" s="186" t="s">
        <v>94</v>
      </c>
      <c r="H662" s="184" t="s">
        <v>322</v>
      </c>
      <c r="T662" s="184" t="s">
        <v>670</v>
      </c>
    </row>
    <row r="663" spans="1:20">
      <c r="A663" s="182">
        <v>44530</v>
      </c>
      <c r="B663" s="183">
        <v>0.70173611111111101</v>
      </c>
      <c r="C663" s="184" t="s">
        <v>73</v>
      </c>
      <c r="D663" s="184" t="s">
        <v>91</v>
      </c>
      <c r="E663" s="184" t="s">
        <v>96</v>
      </c>
      <c r="F663" s="182">
        <v>44583</v>
      </c>
      <c r="G663" s="186" t="s">
        <v>94</v>
      </c>
      <c r="H663" s="184" t="s">
        <v>92</v>
      </c>
    </row>
    <row r="664" spans="1:20">
      <c r="A664" s="182">
        <v>44530</v>
      </c>
      <c r="B664" s="183">
        <v>0.72659722222222223</v>
      </c>
      <c r="C664" s="184" t="s">
        <v>67</v>
      </c>
      <c r="D664" s="184" t="s">
        <v>68</v>
      </c>
      <c r="E664" s="184" t="s">
        <v>19</v>
      </c>
      <c r="F664" s="182">
        <v>44573</v>
      </c>
      <c r="G664" s="186" t="s">
        <v>94</v>
      </c>
      <c r="H664" s="184" t="s">
        <v>259</v>
      </c>
      <c r="T664" s="184" t="s">
        <v>671</v>
      </c>
    </row>
    <row r="665" spans="1:20">
      <c r="A665" s="182">
        <v>44531</v>
      </c>
      <c r="B665" s="183">
        <v>0.56821759259259264</v>
      </c>
      <c r="C665" s="184" t="s">
        <v>67</v>
      </c>
      <c r="D665" s="184" t="s">
        <v>78</v>
      </c>
      <c r="E665" s="184" t="s">
        <v>69</v>
      </c>
      <c r="F665" s="182">
        <v>44610</v>
      </c>
      <c r="G665" s="186" t="s">
        <v>94</v>
      </c>
      <c r="H665" s="184" t="s">
        <v>107</v>
      </c>
    </row>
    <row r="666" spans="1:20">
      <c r="A666" s="182">
        <v>44532</v>
      </c>
      <c r="B666" s="183">
        <v>0.65324074074074068</v>
      </c>
      <c r="C666" s="184" t="s">
        <v>67</v>
      </c>
      <c r="D666" s="184" t="s">
        <v>68</v>
      </c>
      <c r="E666" s="184" t="s">
        <v>45</v>
      </c>
      <c r="F666" s="182">
        <v>44611</v>
      </c>
      <c r="G666" s="186" t="s">
        <v>99</v>
      </c>
      <c r="H666" s="184" t="s">
        <v>222</v>
      </c>
      <c r="T666" s="184" t="s">
        <v>672</v>
      </c>
    </row>
    <row r="667" spans="1:20">
      <c r="A667" s="182">
        <v>44536</v>
      </c>
      <c r="B667" s="183">
        <v>0.43753472222222217</v>
      </c>
      <c r="C667" s="184" t="s">
        <v>73</v>
      </c>
      <c r="D667" s="184" t="s">
        <v>91</v>
      </c>
      <c r="E667" s="184" t="s">
        <v>124</v>
      </c>
      <c r="F667" s="182">
        <v>44589</v>
      </c>
      <c r="G667" s="186" t="s">
        <v>94</v>
      </c>
      <c r="H667" s="184" t="s">
        <v>189</v>
      </c>
    </row>
    <row r="668" spans="1:20">
      <c r="A668" s="182">
        <v>44536</v>
      </c>
      <c r="B668" s="183">
        <v>0.54952546296296301</v>
      </c>
      <c r="C668" s="184" t="s">
        <v>73</v>
      </c>
      <c r="D668" s="184" t="s">
        <v>68</v>
      </c>
      <c r="E668" s="184" t="s">
        <v>96</v>
      </c>
      <c r="F668" s="182">
        <v>44583</v>
      </c>
      <c r="G668" s="186" t="s">
        <v>94</v>
      </c>
      <c r="H668" s="184" t="s">
        <v>308</v>
      </c>
      <c r="T668" s="184" t="s">
        <v>673</v>
      </c>
    </row>
    <row r="669" spans="1:20">
      <c r="A669" s="182">
        <v>44536</v>
      </c>
      <c r="B669" s="183">
        <v>0.7141319444444445</v>
      </c>
      <c r="C669" s="184" t="s">
        <v>67</v>
      </c>
      <c r="D669" s="184" t="s">
        <v>78</v>
      </c>
      <c r="E669" s="184" t="s">
        <v>96</v>
      </c>
      <c r="F669" s="182">
        <v>44583</v>
      </c>
      <c r="G669" s="186" t="s">
        <v>114</v>
      </c>
      <c r="H669" s="184" t="s">
        <v>106</v>
      </c>
    </row>
    <row r="670" spans="1:20">
      <c r="A670" s="182">
        <v>44536</v>
      </c>
      <c r="B670" s="183">
        <v>0.71474537037037045</v>
      </c>
      <c r="C670" s="184" t="s">
        <v>67</v>
      </c>
      <c r="D670" s="184" t="s">
        <v>78</v>
      </c>
      <c r="E670" s="184" t="s">
        <v>69</v>
      </c>
      <c r="F670" s="182">
        <v>44610</v>
      </c>
      <c r="G670" s="186" t="s">
        <v>94</v>
      </c>
      <c r="H670" s="184" t="s">
        <v>106</v>
      </c>
    </row>
    <row r="671" spans="1:20">
      <c r="A671" s="182">
        <v>44537</v>
      </c>
      <c r="B671" s="183">
        <v>0.64491898148148141</v>
      </c>
      <c r="C671" s="184" t="s">
        <v>67</v>
      </c>
      <c r="D671" s="184" t="s">
        <v>68</v>
      </c>
      <c r="E671" s="184" t="s">
        <v>96</v>
      </c>
      <c r="F671" s="182">
        <v>44583</v>
      </c>
      <c r="G671" s="186" t="s">
        <v>99</v>
      </c>
      <c r="H671" s="184" t="s">
        <v>185</v>
      </c>
      <c r="T671" s="184" t="s">
        <v>152</v>
      </c>
    </row>
    <row r="672" spans="1:20">
      <c r="A672" s="182">
        <v>44537</v>
      </c>
      <c r="B672" s="183">
        <v>0.67666666666666664</v>
      </c>
      <c r="C672" s="184" t="s">
        <v>67</v>
      </c>
      <c r="D672" s="184" t="s">
        <v>91</v>
      </c>
      <c r="E672" s="184" t="s">
        <v>96</v>
      </c>
      <c r="F672" s="182">
        <v>44583</v>
      </c>
      <c r="G672" s="186" t="s">
        <v>94</v>
      </c>
      <c r="H672" s="184" t="s">
        <v>227</v>
      </c>
    </row>
    <row r="673" spans="1:20">
      <c r="A673" s="182">
        <v>44537</v>
      </c>
      <c r="B673" s="183">
        <v>0.69130787037037045</v>
      </c>
      <c r="C673" s="184" t="s">
        <v>67</v>
      </c>
      <c r="D673" s="184" t="s">
        <v>68</v>
      </c>
      <c r="E673" s="184" t="s">
        <v>19</v>
      </c>
      <c r="F673" s="182">
        <v>44573</v>
      </c>
      <c r="G673" s="186" t="s">
        <v>114</v>
      </c>
      <c r="H673" s="184" t="s">
        <v>261</v>
      </c>
      <c r="T673" s="184" t="s">
        <v>674</v>
      </c>
    </row>
    <row r="674" spans="1:20">
      <c r="A674" s="182">
        <v>44538</v>
      </c>
      <c r="B674" s="183">
        <v>0.57224537037037038</v>
      </c>
      <c r="C674" s="184" t="s">
        <v>73</v>
      </c>
      <c r="D674" s="184" t="s">
        <v>91</v>
      </c>
      <c r="E674" s="184" t="s">
        <v>69</v>
      </c>
      <c r="F674" s="182">
        <v>44610</v>
      </c>
      <c r="G674" s="186" t="s">
        <v>105</v>
      </c>
      <c r="H674" s="184" t="s">
        <v>227</v>
      </c>
    </row>
    <row r="675" spans="1:20">
      <c r="A675" s="182">
        <v>44539</v>
      </c>
      <c r="B675" s="183">
        <v>0.37753472222222223</v>
      </c>
      <c r="C675" s="184" t="s">
        <v>67</v>
      </c>
      <c r="D675" s="184" t="s">
        <v>68</v>
      </c>
      <c r="E675" s="184" t="s">
        <v>96</v>
      </c>
      <c r="F675" s="182">
        <v>44638</v>
      </c>
      <c r="G675" s="186" t="s">
        <v>94</v>
      </c>
      <c r="H675" s="184" t="s">
        <v>101</v>
      </c>
      <c r="T675" s="184" t="s">
        <v>675</v>
      </c>
    </row>
    <row r="676" spans="1:20">
      <c r="A676" s="182">
        <v>44540</v>
      </c>
      <c r="B676" s="183">
        <v>0.47855324074074074</v>
      </c>
      <c r="C676" s="184" t="s">
        <v>73</v>
      </c>
      <c r="D676" s="184" t="s">
        <v>78</v>
      </c>
      <c r="E676" s="184" t="s">
        <v>96</v>
      </c>
      <c r="F676" s="182">
        <v>44583</v>
      </c>
      <c r="G676" s="186" t="s">
        <v>94</v>
      </c>
      <c r="H676" s="184" t="s">
        <v>113</v>
      </c>
    </row>
    <row r="677" spans="1:20">
      <c r="A677" s="182">
        <v>44540</v>
      </c>
      <c r="B677" s="183">
        <v>0.52175925925925926</v>
      </c>
      <c r="C677" s="184" t="s">
        <v>67</v>
      </c>
      <c r="D677" s="184" t="s">
        <v>78</v>
      </c>
      <c r="E677" s="184" t="s">
        <v>19</v>
      </c>
      <c r="F677" s="182">
        <v>44573</v>
      </c>
      <c r="G677" s="186" t="s">
        <v>94</v>
      </c>
      <c r="H677" s="184" t="s">
        <v>113</v>
      </c>
    </row>
    <row r="678" spans="1:20">
      <c r="A678" s="182">
        <v>44543</v>
      </c>
      <c r="B678" s="183">
        <v>0.48398148148148151</v>
      </c>
      <c r="C678" s="184" t="s">
        <v>73</v>
      </c>
      <c r="D678" s="184" t="s">
        <v>68</v>
      </c>
      <c r="E678" s="184" t="s">
        <v>96</v>
      </c>
      <c r="F678" s="182">
        <v>44583</v>
      </c>
      <c r="G678" s="186" t="s">
        <v>94</v>
      </c>
      <c r="H678" s="184" t="s">
        <v>308</v>
      </c>
      <c r="T678" s="184" t="s">
        <v>676</v>
      </c>
    </row>
    <row r="679" spans="1:20">
      <c r="A679" s="182">
        <v>44543</v>
      </c>
      <c r="B679" s="183">
        <v>0.6896064814814814</v>
      </c>
      <c r="C679" s="184" t="s">
        <v>73</v>
      </c>
      <c r="D679" s="184" t="s">
        <v>91</v>
      </c>
      <c r="E679" s="184" t="s">
        <v>19</v>
      </c>
      <c r="F679" s="182">
        <v>44573</v>
      </c>
      <c r="G679" s="186" t="s">
        <v>94</v>
      </c>
      <c r="H679" s="184" t="s">
        <v>189</v>
      </c>
    </row>
    <row r="680" spans="1:20">
      <c r="A680" s="182">
        <v>44543</v>
      </c>
      <c r="B680" s="183">
        <v>0.69499999999999995</v>
      </c>
      <c r="C680" s="184" t="s">
        <v>73</v>
      </c>
      <c r="D680" s="184" t="s">
        <v>78</v>
      </c>
      <c r="E680" s="184" t="s">
        <v>69</v>
      </c>
      <c r="F680" s="182">
        <v>44610</v>
      </c>
      <c r="G680" s="186" t="s">
        <v>178</v>
      </c>
      <c r="H680" s="184" t="s">
        <v>327</v>
      </c>
    </row>
    <row r="681" spans="1:20">
      <c r="A681" s="182">
        <v>44544</v>
      </c>
      <c r="B681" s="183">
        <v>0.46731481481481479</v>
      </c>
      <c r="C681" s="184" t="s">
        <v>67</v>
      </c>
      <c r="D681" s="184" t="s">
        <v>68</v>
      </c>
      <c r="E681" s="184" t="s">
        <v>96</v>
      </c>
      <c r="F681" s="182">
        <v>44583</v>
      </c>
      <c r="G681" s="186" t="s">
        <v>94</v>
      </c>
      <c r="H681" s="184" t="s">
        <v>190</v>
      </c>
      <c r="T681" s="184" t="s">
        <v>157</v>
      </c>
    </row>
    <row r="682" spans="1:20">
      <c r="A682" s="182">
        <v>44544</v>
      </c>
      <c r="B682" s="183">
        <v>0.48598379629629629</v>
      </c>
      <c r="C682" s="184" t="s">
        <v>67</v>
      </c>
      <c r="D682" s="184" t="s">
        <v>68</v>
      </c>
      <c r="E682" s="184" t="s">
        <v>124</v>
      </c>
      <c r="F682" s="182">
        <v>44589</v>
      </c>
      <c r="G682" s="186" t="s">
        <v>94</v>
      </c>
      <c r="H682" s="184" t="s">
        <v>87</v>
      </c>
      <c r="T682" s="184" t="s">
        <v>284</v>
      </c>
    </row>
    <row r="683" spans="1:20">
      <c r="A683" s="182">
        <v>44544</v>
      </c>
      <c r="B683" s="183">
        <v>0.62311342592592589</v>
      </c>
      <c r="C683" s="184" t="s">
        <v>67</v>
      </c>
      <c r="D683" s="184" t="s">
        <v>91</v>
      </c>
      <c r="E683" s="184" t="s">
        <v>19</v>
      </c>
      <c r="F683" s="182">
        <v>44573</v>
      </c>
      <c r="G683" s="186" t="s">
        <v>94</v>
      </c>
      <c r="H683" s="184" t="s">
        <v>218</v>
      </c>
    </row>
    <row r="684" spans="1:20">
      <c r="A684" s="182">
        <v>44547</v>
      </c>
      <c r="B684" s="183">
        <v>0.69569444444444439</v>
      </c>
      <c r="C684" s="184" t="s">
        <v>67</v>
      </c>
      <c r="D684" s="184" t="s">
        <v>68</v>
      </c>
      <c r="E684" s="184" t="s">
        <v>96</v>
      </c>
      <c r="F684" s="182">
        <v>44583</v>
      </c>
      <c r="G684" s="186" t="s">
        <v>94</v>
      </c>
      <c r="H684" s="184" t="s">
        <v>206</v>
      </c>
      <c r="T684" s="184" t="s">
        <v>677</v>
      </c>
    </row>
    <row r="685" spans="1:20">
      <c r="A685" s="182">
        <v>44550</v>
      </c>
      <c r="B685" s="183">
        <v>0.53434027777777782</v>
      </c>
      <c r="C685" s="184" t="s">
        <v>73</v>
      </c>
      <c r="D685" s="184" t="s">
        <v>68</v>
      </c>
      <c r="E685" s="184" t="s">
        <v>19</v>
      </c>
      <c r="F685" s="182">
        <v>44573</v>
      </c>
      <c r="G685" s="186" t="s">
        <v>99</v>
      </c>
      <c r="H685" s="184" t="s">
        <v>273</v>
      </c>
      <c r="T685" s="184" t="s">
        <v>678</v>
      </c>
    </row>
    <row r="686" spans="1:20">
      <c r="A686" s="182">
        <v>44550</v>
      </c>
      <c r="B686" s="183">
        <v>0.70004629629629633</v>
      </c>
      <c r="C686" s="184" t="s">
        <v>73</v>
      </c>
      <c r="D686" s="184" t="s">
        <v>68</v>
      </c>
      <c r="E686" s="184" t="s">
        <v>96</v>
      </c>
      <c r="F686" s="182">
        <v>44583</v>
      </c>
      <c r="G686" s="186" t="s">
        <v>99</v>
      </c>
      <c r="H686" s="184" t="s">
        <v>190</v>
      </c>
      <c r="T686" s="184" t="s">
        <v>257</v>
      </c>
    </row>
    <row r="687" spans="1:20">
      <c r="A687" s="182">
        <v>44550</v>
      </c>
      <c r="B687" s="183">
        <v>0.70159722222222232</v>
      </c>
      <c r="C687" s="184" t="s">
        <v>73</v>
      </c>
      <c r="D687" s="184" t="s">
        <v>68</v>
      </c>
      <c r="E687" s="184" t="s">
        <v>96</v>
      </c>
      <c r="F687" s="182">
        <v>44638</v>
      </c>
      <c r="G687" s="186" t="s">
        <v>94</v>
      </c>
      <c r="H687" s="184" t="s">
        <v>103</v>
      </c>
      <c r="T687" s="184" t="s">
        <v>257</v>
      </c>
    </row>
    <row r="688" spans="1:20">
      <c r="A688" s="182">
        <v>44551</v>
      </c>
      <c r="B688" s="183">
        <v>0.58228009259259261</v>
      </c>
      <c r="C688" s="184" t="s">
        <v>67</v>
      </c>
      <c r="D688" s="184" t="s">
        <v>68</v>
      </c>
      <c r="E688" s="184" t="s">
        <v>96</v>
      </c>
      <c r="F688" s="182">
        <v>44583</v>
      </c>
      <c r="G688" s="186" t="s">
        <v>99</v>
      </c>
      <c r="H688" s="184" t="s">
        <v>308</v>
      </c>
      <c r="T688" s="184" t="s">
        <v>679</v>
      </c>
    </row>
    <row r="689" spans="1:20">
      <c r="A689" s="182">
        <v>44552</v>
      </c>
      <c r="B689" s="183">
        <v>0.58807870370370374</v>
      </c>
      <c r="C689" s="184" t="s">
        <v>73</v>
      </c>
      <c r="D689" s="184" t="s">
        <v>91</v>
      </c>
      <c r="E689" s="184" t="s">
        <v>96</v>
      </c>
      <c r="F689" s="182">
        <v>44583</v>
      </c>
      <c r="G689" s="186" t="s">
        <v>94</v>
      </c>
      <c r="H689" s="184" t="s">
        <v>285</v>
      </c>
    </row>
    <row r="690" spans="1:20">
      <c r="A690" s="182">
        <v>44554</v>
      </c>
      <c r="B690" s="183">
        <v>0.45472222222222225</v>
      </c>
      <c r="C690" s="184" t="s">
        <v>73</v>
      </c>
      <c r="D690" s="184" t="s">
        <v>68</v>
      </c>
      <c r="E690" s="184" t="s">
        <v>96</v>
      </c>
      <c r="F690" s="182">
        <v>44583</v>
      </c>
      <c r="G690" s="186" t="s">
        <v>94</v>
      </c>
      <c r="H690" s="184" t="s">
        <v>190</v>
      </c>
      <c r="T690" s="184" t="s">
        <v>680</v>
      </c>
    </row>
    <row r="691" spans="1:20">
      <c r="A691" s="182">
        <v>44557</v>
      </c>
      <c r="B691" s="183">
        <v>0.41878472222222224</v>
      </c>
      <c r="C691" s="184" t="s">
        <v>67</v>
      </c>
      <c r="D691" s="184" t="s">
        <v>78</v>
      </c>
      <c r="E691" s="184" t="s">
        <v>45</v>
      </c>
      <c r="F691" s="182">
        <v>44611</v>
      </c>
      <c r="G691" s="186" t="s">
        <v>94</v>
      </c>
      <c r="H691" s="184" t="s">
        <v>113</v>
      </c>
    </row>
    <row r="692" spans="1:20">
      <c r="A692" s="182">
        <v>44566</v>
      </c>
      <c r="B692" s="183">
        <v>0.37415509259259255</v>
      </c>
      <c r="C692" s="184" t="s">
        <v>67</v>
      </c>
      <c r="D692" s="184" t="s">
        <v>91</v>
      </c>
      <c r="E692" s="184" t="s">
        <v>124</v>
      </c>
      <c r="F692" s="182">
        <v>44589</v>
      </c>
      <c r="G692" s="186" t="s">
        <v>94</v>
      </c>
      <c r="H692" s="184" t="s">
        <v>218</v>
      </c>
    </row>
    <row r="693" spans="1:20">
      <c r="A693" s="182">
        <v>44566</v>
      </c>
      <c r="B693" s="183">
        <v>0.43940972222222219</v>
      </c>
      <c r="C693" s="184" t="s">
        <v>73</v>
      </c>
      <c r="D693" s="184" t="s">
        <v>91</v>
      </c>
      <c r="E693" s="184" t="s">
        <v>45</v>
      </c>
      <c r="F693" s="182">
        <v>44611</v>
      </c>
      <c r="G693" s="186" t="s">
        <v>238</v>
      </c>
      <c r="H693" s="184" t="s">
        <v>92</v>
      </c>
    </row>
    <row r="694" spans="1:20">
      <c r="A694" s="182">
        <v>44566</v>
      </c>
      <c r="B694" s="183">
        <v>0.56246527777777777</v>
      </c>
      <c r="C694" s="184" t="s">
        <v>73</v>
      </c>
      <c r="D694" s="184" t="s">
        <v>68</v>
      </c>
      <c r="E694" s="184" t="s">
        <v>96</v>
      </c>
      <c r="F694" s="182">
        <v>44583</v>
      </c>
      <c r="G694" s="186" t="s">
        <v>114</v>
      </c>
      <c r="H694" s="184" t="s">
        <v>209</v>
      </c>
      <c r="T694" s="184" t="s">
        <v>681</v>
      </c>
    </row>
    <row r="695" spans="1:20">
      <c r="A695" s="182">
        <v>44566</v>
      </c>
      <c r="B695" s="183">
        <v>0.65172453703703703</v>
      </c>
      <c r="C695" s="184" t="s">
        <v>73</v>
      </c>
      <c r="D695" s="184" t="s">
        <v>68</v>
      </c>
      <c r="E695" s="184" t="s">
        <v>124</v>
      </c>
      <c r="F695" s="182">
        <v>44589</v>
      </c>
      <c r="G695" s="186" t="s">
        <v>99</v>
      </c>
      <c r="H695" s="184" t="s">
        <v>76</v>
      </c>
      <c r="T695" s="184" t="s">
        <v>682</v>
      </c>
    </row>
    <row r="696" spans="1:20">
      <c r="A696" s="182">
        <v>44567</v>
      </c>
      <c r="B696" s="183">
        <v>0.43293981481481486</v>
      </c>
      <c r="C696" s="184" t="s">
        <v>73</v>
      </c>
      <c r="D696" s="184" t="s">
        <v>68</v>
      </c>
      <c r="E696" s="184" t="s">
        <v>96</v>
      </c>
      <c r="F696" s="182">
        <v>44583</v>
      </c>
      <c r="G696" s="186" t="s">
        <v>94</v>
      </c>
      <c r="H696" s="184" t="s">
        <v>272</v>
      </c>
      <c r="T696" s="184" t="s">
        <v>689</v>
      </c>
    </row>
    <row r="697" spans="1:20">
      <c r="A697" s="182">
        <v>44567</v>
      </c>
      <c r="B697" s="183">
        <v>0.46065972222222223</v>
      </c>
      <c r="C697" s="184" t="s">
        <v>73</v>
      </c>
      <c r="D697" s="184" t="s">
        <v>68</v>
      </c>
      <c r="E697" s="184" t="s">
        <v>96</v>
      </c>
      <c r="F697" s="182">
        <v>44583</v>
      </c>
      <c r="G697" s="186" t="s">
        <v>94</v>
      </c>
      <c r="H697" s="184" t="s">
        <v>213</v>
      </c>
      <c r="T697" s="184" t="s">
        <v>167</v>
      </c>
    </row>
    <row r="698" spans="1:20">
      <c r="A698" s="182">
        <v>44567</v>
      </c>
      <c r="B698" s="183">
        <v>0.60902777777777783</v>
      </c>
      <c r="C698" s="184" t="s">
        <v>73</v>
      </c>
      <c r="D698" s="184" t="s">
        <v>68</v>
      </c>
      <c r="E698" s="184" t="s">
        <v>69</v>
      </c>
      <c r="F698" s="182">
        <v>44610</v>
      </c>
      <c r="G698" s="186" t="s">
        <v>94</v>
      </c>
      <c r="H698" s="184" t="s">
        <v>241</v>
      </c>
      <c r="T698" s="184" t="s">
        <v>690</v>
      </c>
    </row>
    <row r="699" spans="1:20">
      <c r="A699" s="182">
        <v>44572</v>
      </c>
      <c r="B699" s="183">
        <v>0.46412037037037041</v>
      </c>
      <c r="C699" s="184" t="s">
        <v>67</v>
      </c>
      <c r="D699" s="184" t="s">
        <v>68</v>
      </c>
      <c r="E699" s="184" t="s">
        <v>96</v>
      </c>
      <c r="F699" s="182">
        <v>44583</v>
      </c>
      <c r="G699" s="186" t="s">
        <v>94</v>
      </c>
      <c r="H699" s="184" t="s">
        <v>225</v>
      </c>
      <c r="T699" s="184" t="s">
        <v>691</v>
      </c>
    </row>
    <row r="700" spans="1:20">
      <c r="A700" s="182">
        <v>44572</v>
      </c>
      <c r="B700" s="183">
        <v>0.46879629629629632</v>
      </c>
      <c r="C700" s="184" t="s">
        <v>67</v>
      </c>
      <c r="D700" s="184" t="s">
        <v>68</v>
      </c>
      <c r="E700" s="184" t="s">
        <v>69</v>
      </c>
      <c r="F700" s="182">
        <v>44610</v>
      </c>
      <c r="G700" s="186" t="s">
        <v>114</v>
      </c>
      <c r="H700" s="184" t="s">
        <v>521</v>
      </c>
      <c r="T700" s="184" t="s">
        <v>692</v>
      </c>
    </row>
    <row r="701" spans="1:20">
      <c r="A701" s="182">
        <v>44572</v>
      </c>
      <c r="B701" s="183">
        <v>0.4841435185185185</v>
      </c>
      <c r="C701" s="184" t="s">
        <v>67</v>
      </c>
      <c r="D701" s="184" t="s">
        <v>91</v>
      </c>
      <c r="E701" s="184" t="s">
        <v>96</v>
      </c>
      <c r="F701" s="182">
        <v>44638</v>
      </c>
      <c r="G701" s="186" t="s">
        <v>75</v>
      </c>
      <c r="H701" s="184" t="s">
        <v>92</v>
      </c>
    </row>
    <row r="702" spans="1:20">
      <c r="A702" s="182">
        <v>44572</v>
      </c>
      <c r="B702" s="183">
        <v>0.48439814814814813</v>
      </c>
      <c r="C702" s="184" t="s">
        <v>67</v>
      </c>
      <c r="D702" s="184" t="s">
        <v>78</v>
      </c>
      <c r="E702" s="184" t="s">
        <v>124</v>
      </c>
      <c r="F702" s="182">
        <v>44589</v>
      </c>
      <c r="G702" s="186" t="s">
        <v>75</v>
      </c>
      <c r="H702" s="184" t="s">
        <v>107</v>
      </c>
    </row>
    <row r="703" spans="1:20">
      <c r="A703" s="182">
        <v>44572</v>
      </c>
      <c r="B703" s="183">
        <v>0.70983796296296298</v>
      </c>
      <c r="C703" s="184" t="s">
        <v>67</v>
      </c>
      <c r="D703" s="184" t="s">
        <v>78</v>
      </c>
      <c r="E703" s="184" t="s">
        <v>45</v>
      </c>
      <c r="F703" s="182">
        <v>44611</v>
      </c>
      <c r="G703" s="186" t="s">
        <v>94</v>
      </c>
      <c r="H703" s="184" t="s">
        <v>265</v>
      </c>
    </row>
    <row r="704" spans="1:20">
      <c r="A704" s="182">
        <v>44573</v>
      </c>
      <c r="B704" s="183">
        <v>0.44194444444444447</v>
      </c>
      <c r="C704" s="184" t="s">
        <v>73</v>
      </c>
      <c r="D704" s="184" t="s">
        <v>68</v>
      </c>
      <c r="E704" s="184" t="s">
        <v>69</v>
      </c>
      <c r="F704" s="182">
        <v>44610</v>
      </c>
      <c r="G704" s="186" t="s">
        <v>114</v>
      </c>
      <c r="H704" s="184" t="s">
        <v>247</v>
      </c>
      <c r="T704" s="184" t="s">
        <v>152</v>
      </c>
    </row>
    <row r="705" spans="1:20">
      <c r="A705" s="182">
        <v>44573</v>
      </c>
      <c r="B705" s="183">
        <v>0.46865740740740741</v>
      </c>
      <c r="C705" s="184" t="s">
        <v>67</v>
      </c>
      <c r="D705" s="184" t="s">
        <v>68</v>
      </c>
      <c r="E705" s="184" t="s">
        <v>96</v>
      </c>
      <c r="F705" s="182">
        <v>44638</v>
      </c>
      <c r="G705" s="186" t="s">
        <v>70</v>
      </c>
      <c r="H705" s="184" t="s">
        <v>182</v>
      </c>
      <c r="T705" s="184" t="s">
        <v>693</v>
      </c>
    </row>
    <row r="706" spans="1:20">
      <c r="A706" s="182">
        <v>44575</v>
      </c>
      <c r="B706" s="183">
        <v>0.49120370370370375</v>
      </c>
      <c r="C706" s="184" t="s">
        <v>73</v>
      </c>
      <c r="D706" s="184" t="s">
        <v>91</v>
      </c>
      <c r="E706" s="184" t="s">
        <v>69</v>
      </c>
      <c r="F706" s="182">
        <v>44610</v>
      </c>
      <c r="G706" s="186" t="s">
        <v>83</v>
      </c>
      <c r="H706" s="184" t="s">
        <v>189</v>
      </c>
    </row>
    <row r="707" spans="1:20">
      <c r="A707" s="182">
        <v>44575</v>
      </c>
      <c r="B707" s="183">
        <v>0.49226851851851849</v>
      </c>
      <c r="C707" s="184" t="s">
        <v>73</v>
      </c>
      <c r="D707" s="184" t="s">
        <v>78</v>
      </c>
      <c r="E707" s="184" t="s">
        <v>69</v>
      </c>
      <c r="F707" s="182">
        <v>44610</v>
      </c>
      <c r="G707" s="186" t="s">
        <v>114</v>
      </c>
      <c r="H707" s="184" t="s">
        <v>80</v>
      </c>
    </row>
    <row r="708" spans="1:20">
      <c r="A708" s="182">
        <v>44578</v>
      </c>
      <c r="B708" s="183">
        <v>0.3976851851851852</v>
      </c>
      <c r="C708" s="184" t="s">
        <v>67</v>
      </c>
      <c r="D708" s="184" t="s">
        <v>91</v>
      </c>
      <c r="E708" s="184" t="s">
        <v>45</v>
      </c>
      <c r="F708" s="182">
        <v>44611</v>
      </c>
      <c r="G708" s="186" t="s">
        <v>94</v>
      </c>
      <c r="H708" s="184" t="s">
        <v>227</v>
      </c>
    </row>
    <row r="709" spans="1:20">
      <c r="A709" s="182">
        <v>44580</v>
      </c>
      <c r="B709" s="183">
        <v>0.51844907407407403</v>
      </c>
      <c r="C709" s="184" t="s">
        <v>73</v>
      </c>
      <c r="D709" s="184" t="s">
        <v>68</v>
      </c>
      <c r="E709" s="184" t="s">
        <v>69</v>
      </c>
      <c r="F709" s="182">
        <v>44610</v>
      </c>
      <c r="G709" s="186" t="s">
        <v>114</v>
      </c>
      <c r="H709" s="184" t="s">
        <v>243</v>
      </c>
      <c r="T709" s="184" t="s">
        <v>694</v>
      </c>
    </row>
    <row r="710" spans="1:20">
      <c r="A710" s="182">
        <v>44580</v>
      </c>
      <c r="B710" s="183">
        <v>0.62236111111111114</v>
      </c>
      <c r="C710" s="184" t="s">
        <v>73</v>
      </c>
      <c r="D710" s="184" t="s">
        <v>68</v>
      </c>
      <c r="E710" s="184" t="s">
        <v>69</v>
      </c>
      <c r="F710" s="182">
        <v>44610</v>
      </c>
      <c r="G710" s="186" t="s">
        <v>94</v>
      </c>
      <c r="H710" s="184" t="s">
        <v>529</v>
      </c>
      <c r="T710" s="184" t="s">
        <v>695</v>
      </c>
    </row>
    <row r="711" spans="1:20">
      <c r="A711" s="182">
        <v>44582</v>
      </c>
      <c r="B711" s="183">
        <v>0.40995370370370371</v>
      </c>
      <c r="C711" s="184" t="s">
        <v>67</v>
      </c>
      <c r="D711" s="184" t="s">
        <v>68</v>
      </c>
      <c r="E711" s="184" t="s">
        <v>69</v>
      </c>
      <c r="F711" s="182">
        <v>44610</v>
      </c>
      <c r="G711" s="186" t="s">
        <v>83</v>
      </c>
      <c r="H711" s="184" t="s">
        <v>202</v>
      </c>
      <c r="T711" s="184" t="s">
        <v>431</v>
      </c>
    </row>
    <row r="712" spans="1:20">
      <c r="A712" s="182">
        <v>44582</v>
      </c>
      <c r="B712" s="183">
        <v>0.41878472222222224</v>
      </c>
      <c r="C712" s="184" t="s">
        <v>67</v>
      </c>
      <c r="D712" s="184" t="s">
        <v>78</v>
      </c>
      <c r="E712" s="184" t="s">
        <v>96</v>
      </c>
      <c r="F712" s="182">
        <v>44638</v>
      </c>
      <c r="G712" s="186" t="s">
        <v>94</v>
      </c>
      <c r="H712" s="184" t="s">
        <v>107</v>
      </c>
    </row>
    <row r="713" spans="1:20">
      <c r="A713" s="182">
        <v>44582</v>
      </c>
      <c r="B713" s="183">
        <v>0.62615740740740744</v>
      </c>
      <c r="C713" s="184" t="s">
        <v>73</v>
      </c>
      <c r="D713" s="184" t="s">
        <v>68</v>
      </c>
      <c r="E713" s="184" t="s">
        <v>124</v>
      </c>
      <c r="F713" s="182">
        <v>44589</v>
      </c>
      <c r="G713" s="186" t="s">
        <v>94</v>
      </c>
      <c r="H713" s="184" t="s">
        <v>87</v>
      </c>
      <c r="T713" s="184" t="s">
        <v>696</v>
      </c>
    </row>
    <row r="714" spans="1:20">
      <c r="A714" s="182">
        <v>44582</v>
      </c>
      <c r="B714" s="183">
        <v>0.67332175925925919</v>
      </c>
      <c r="C714" s="184" t="s">
        <v>73</v>
      </c>
      <c r="D714" s="184" t="s">
        <v>68</v>
      </c>
      <c r="E714" s="184" t="s">
        <v>69</v>
      </c>
      <c r="F714" s="182">
        <v>44610</v>
      </c>
      <c r="G714" s="186" t="s">
        <v>94</v>
      </c>
      <c r="H714" s="184" t="s">
        <v>205</v>
      </c>
      <c r="T714" s="184" t="s">
        <v>697</v>
      </c>
    </row>
    <row r="715" spans="1:20">
      <c r="A715" s="182">
        <v>44585</v>
      </c>
      <c r="B715" s="183">
        <v>0.60438657407407403</v>
      </c>
      <c r="C715" s="184" t="s">
        <v>73</v>
      </c>
      <c r="D715" s="184" t="s">
        <v>68</v>
      </c>
      <c r="E715" s="184" t="s">
        <v>124</v>
      </c>
      <c r="F715" s="182">
        <v>44589</v>
      </c>
      <c r="G715" s="186" t="s">
        <v>99</v>
      </c>
      <c r="H715" s="184" t="s">
        <v>76</v>
      </c>
      <c r="T715" s="184" t="s">
        <v>696</v>
      </c>
    </row>
    <row r="716" spans="1:20">
      <c r="A716" s="182">
        <v>44585</v>
      </c>
      <c r="B716" s="183">
        <v>0.70258101851851851</v>
      </c>
      <c r="C716" s="184" t="s">
        <v>73</v>
      </c>
      <c r="D716" s="184" t="s">
        <v>68</v>
      </c>
      <c r="E716" s="184" t="s">
        <v>69</v>
      </c>
      <c r="F716" s="182">
        <v>44610</v>
      </c>
      <c r="G716" s="186" t="s">
        <v>114</v>
      </c>
      <c r="H716" s="184" t="s">
        <v>600</v>
      </c>
      <c r="T716" s="184" t="s">
        <v>699</v>
      </c>
    </row>
    <row r="717" spans="1:20">
      <c r="A717" s="182">
        <v>44586</v>
      </c>
      <c r="B717" s="183">
        <v>0.64939814814814811</v>
      </c>
      <c r="C717" s="184" t="s">
        <v>67</v>
      </c>
      <c r="D717" s="184" t="s">
        <v>78</v>
      </c>
      <c r="E717" s="184" t="s">
        <v>45</v>
      </c>
      <c r="F717" s="182">
        <v>44611</v>
      </c>
      <c r="G717" s="186" t="s">
        <v>114</v>
      </c>
      <c r="H717" s="184" t="s">
        <v>267</v>
      </c>
    </row>
    <row r="718" spans="1:20">
      <c r="A718" s="182">
        <v>44587</v>
      </c>
      <c r="B718" s="183">
        <v>0.45076388888888891</v>
      </c>
      <c r="C718" s="184" t="s">
        <v>67</v>
      </c>
      <c r="D718" s="184" t="s">
        <v>68</v>
      </c>
      <c r="E718" s="184" t="s">
        <v>69</v>
      </c>
      <c r="F718" s="182">
        <v>44610</v>
      </c>
      <c r="G718" s="186" t="s">
        <v>94</v>
      </c>
      <c r="H718" s="184" t="s">
        <v>706</v>
      </c>
      <c r="T718" s="184" t="s">
        <v>707</v>
      </c>
    </row>
    <row r="719" spans="1:20">
      <c r="A719" s="182">
        <v>44588</v>
      </c>
      <c r="B719" s="183">
        <v>0.46228009259259256</v>
      </c>
      <c r="C719" s="184" t="s">
        <v>73</v>
      </c>
      <c r="D719" s="184" t="s">
        <v>68</v>
      </c>
      <c r="E719" s="184" t="s">
        <v>69</v>
      </c>
      <c r="F719" s="182">
        <v>44610</v>
      </c>
      <c r="G719" s="186" t="s">
        <v>114</v>
      </c>
      <c r="H719" s="184" t="s">
        <v>708</v>
      </c>
      <c r="T719" s="184" t="s">
        <v>709</v>
      </c>
    </row>
    <row r="720" spans="1:20">
      <c r="A720" s="182">
        <v>44588</v>
      </c>
      <c r="B720" s="183">
        <v>0.54716435185185186</v>
      </c>
      <c r="C720" s="184" t="s">
        <v>73</v>
      </c>
      <c r="D720" s="184" t="s">
        <v>68</v>
      </c>
      <c r="E720" s="184" t="s">
        <v>69</v>
      </c>
      <c r="F720" s="182">
        <v>44610</v>
      </c>
      <c r="G720" s="186" t="s">
        <v>94</v>
      </c>
      <c r="H720" s="184" t="s">
        <v>179</v>
      </c>
      <c r="T720" s="184" t="s">
        <v>570</v>
      </c>
    </row>
    <row r="721" spans="1:20">
      <c r="A721" s="182">
        <v>44588</v>
      </c>
      <c r="B721" s="183">
        <v>0.54961805555555554</v>
      </c>
      <c r="C721" s="184" t="s">
        <v>73</v>
      </c>
      <c r="D721" s="184" t="s">
        <v>68</v>
      </c>
      <c r="E721" s="184" t="s">
        <v>69</v>
      </c>
      <c r="F721" s="182">
        <v>44610</v>
      </c>
      <c r="G721" s="186" t="s">
        <v>99</v>
      </c>
      <c r="H721" s="184" t="s">
        <v>708</v>
      </c>
      <c r="T721" s="184" t="s">
        <v>710</v>
      </c>
    </row>
    <row r="722" spans="1:20">
      <c r="A722" s="182">
        <v>44588</v>
      </c>
      <c r="B722" s="183">
        <v>0.55355324074074075</v>
      </c>
      <c r="C722" s="184" t="s">
        <v>73</v>
      </c>
      <c r="D722" s="184" t="s">
        <v>68</v>
      </c>
      <c r="E722" s="184" t="s">
        <v>69</v>
      </c>
      <c r="F722" s="182">
        <v>44610</v>
      </c>
      <c r="G722" s="186" t="s">
        <v>114</v>
      </c>
      <c r="H722" s="184" t="s">
        <v>183</v>
      </c>
      <c r="T722" s="184" t="s">
        <v>570</v>
      </c>
    </row>
    <row r="723" spans="1:20">
      <c r="A723" s="182">
        <v>44589</v>
      </c>
      <c r="B723" s="183">
        <v>0.48609953703703707</v>
      </c>
      <c r="C723" s="184" t="s">
        <v>73</v>
      </c>
      <c r="D723" s="184" t="s">
        <v>68</v>
      </c>
      <c r="E723" s="184" t="s">
        <v>96</v>
      </c>
      <c r="F723" s="182">
        <v>44638</v>
      </c>
      <c r="G723" s="186" t="s">
        <v>94</v>
      </c>
      <c r="H723" s="184" t="s">
        <v>117</v>
      </c>
      <c r="T723" s="184" t="s">
        <v>711</v>
      </c>
    </row>
    <row r="724" spans="1:20">
      <c r="A724" s="182">
        <v>44592</v>
      </c>
      <c r="B724" s="183">
        <v>0.55872685185185189</v>
      </c>
      <c r="C724" s="184" t="s">
        <v>67</v>
      </c>
      <c r="D724" s="184" t="s">
        <v>68</v>
      </c>
      <c r="E724" s="184" t="s">
        <v>69</v>
      </c>
      <c r="F724" s="182">
        <v>44631</v>
      </c>
      <c r="G724" s="186" t="s">
        <v>70</v>
      </c>
      <c r="H724" s="184" t="s">
        <v>71</v>
      </c>
      <c r="T724" s="184" t="s">
        <v>161</v>
      </c>
    </row>
    <row r="725" spans="1:20">
      <c r="A725" s="182">
        <v>44592</v>
      </c>
      <c r="B725" s="183">
        <v>0.70950231481481485</v>
      </c>
      <c r="C725" s="184" t="s">
        <v>67</v>
      </c>
      <c r="D725" s="184" t="s">
        <v>68</v>
      </c>
      <c r="E725" s="184" t="s">
        <v>45</v>
      </c>
      <c r="F725" s="182">
        <v>44611</v>
      </c>
      <c r="G725" s="186" t="s">
        <v>75</v>
      </c>
      <c r="H725" s="184" t="s">
        <v>76</v>
      </c>
      <c r="T725" s="184" t="s">
        <v>712</v>
      </c>
    </row>
    <row r="726" spans="1:20">
      <c r="A726" s="182">
        <v>44593</v>
      </c>
      <c r="B726" s="183">
        <v>0.49295138888888884</v>
      </c>
      <c r="C726" s="184" t="s">
        <v>73</v>
      </c>
      <c r="D726" s="184" t="s">
        <v>91</v>
      </c>
      <c r="E726" s="184" t="s">
        <v>69</v>
      </c>
      <c r="F726" s="182">
        <v>44631</v>
      </c>
      <c r="G726" s="186" t="s">
        <v>70</v>
      </c>
      <c r="H726" s="184" t="s">
        <v>93</v>
      </c>
    </row>
    <row r="727" spans="1:20">
      <c r="A727" s="182">
        <v>44593</v>
      </c>
      <c r="B727" s="183">
        <v>0.5044791666666667</v>
      </c>
      <c r="C727" s="184" t="s">
        <v>73</v>
      </c>
      <c r="D727" s="184" t="s">
        <v>91</v>
      </c>
      <c r="E727" s="184" t="s">
        <v>69</v>
      </c>
      <c r="F727" s="182">
        <v>44631</v>
      </c>
      <c r="G727" s="186" t="s">
        <v>94</v>
      </c>
      <c r="H727" s="184" t="s">
        <v>92</v>
      </c>
    </row>
    <row r="728" spans="1:20">
      <c r="A728" s="182">
        <v>44596</v>
      </c>
      <c r="B728" s="183">
        <v>0.46098379629629632</v>
      </c>
      <c r="C728" s="184" t="s">
        <v>73</v>
      </c>
      <c r="D728" s="184" t="s">
        <v>68</v>
      </c>
      <c r="E728" s="184" t="s">
        <v>69</v>
      </c>
      <c r="F728" s="182">
        <v>44631</v>
      </c>
      <c r="G728" s="186" t="s">
        <v>94</v>
      </c>
      <c r="H728" s="184" t="s">
        <v>76</v>
      </c>
      <c r="T728" s="184" t="s">
        <v>316</v>
      </c>
    </row>
    <row r="729" spans="1:20">
      <c r="A729" s="182">
        <v>44599</v>
      </c>
      <c r="B729" s="183">
        <v>0.38725694444444447</v>
      </c>
      <c r="C729" s="184" t="s">
        <v>67</v>
      </c>
      <c r="D729" s="184" t="s">
        <v>68</v>
      </c>
      <c r="E729" s="184" t="s">
        <v>96</v>
      </c>
      <c r="F729" s="182">
        <v>44638</v>
      </c>
      <c r="G729" s="186" t="s">
        <v>94</v>
      </c>
      <c r="H729" s="184" t="s">
        <v>259</v>
      </c>
      <c r="T729" s="184" t="s">
        <v>714</v>
      </c>
    </row>
    <row r="730" spans="1:20">
      <c r="A730" s="182">
        <v>44599</v>
      </c>
      <c r="B730" s="183">
        <v>0.42116898148148146</v>
      </c>
      <c r="C730" s="184" t="s">
        <v>73</v>
      </c>
      <c r="D730" s="184" t="s">
        <v>68</v>
      </c>
      <c r="E730" s="184" t="s">
        <v>69</v>
      </c>
      <c r="F730" s="182">
        <v>44631</v>
      </c>
      <c r="G730" s="186" t="s">
        <v>94</v>
      </c>
      <c r="H730" s="184" t="s">
        <v>87</v>
      </c>
      <c r="T730" s="184" t="s">
        <v>715</v>
      </c>
    </row>
    <row r="731" spans="1:20">
      <c r="A731" s="182">
        <v>44599</v>
      </c>
      <c r="B731" s="183">
        <v>0.58374999999999999</v>
      </c>
      <c r="C731" s="184" t="s">
        <v>73</v>
      </c>
      <c r="D731" s="184" t="s">
        <v>68</v>
      </c>
      <c r="E731" s="184" t="s">
        <v>45</v>
      </c>
      <c r="F731" s="182">
        <v>44611</v>
      </c>
      <c r="G731" s="186" t="s">
        <v>94</v>
      </c>
      <c r="H731" s="184" t="s">
        <v>87</v>
      </c>
      <c r="T731" s="184" t="s">
        <v>332</v>
      </c>
    </row>
    <row r="732" spans="1:20">
      <c r="A732" s="182">
        <v>44606</v>
      </c>
      <c r="B732" s="183">
        <v>0.42659722222222224</v>
      </c>
      <c r="C732" s="184" t="s">
        <v>73</v>
      </c>
      <c r="D732" s="184" t="s">
        <v>91</v>
      </c>
      <c r="E732" s="184" t="s">
        <v>96</v>
      </c>
      <c r="F732" s="182">
        <v>44638</v>
      </c>
      <c r="G732" s="186" t="s">
        <v>94</v>
      </c>
      <c r="H732" s="184" t="s">
        <v>227</v>
      </c>
    </row>
    <row r="733" spans="1:20">
      <c r="A733" s="182">
        <v>44607</v>
      </c>
      <c r="B733" s="183">
        <v>0.62127314814814816</v>
      </c>
      <c r="C733" s="184" t="s">
        <v>67</v>
      </c>
      <c r="D733" s="184" t="s">
        <v>68</v>
      </c>
      <c r="E733" s="184" t="s">
        <v>96</v>
      </c>
      <c r="F733" s="182">
        <v>44638</v>
      </c>
      <c r="G733" s="186" t="s">
        <v>70</v>
      </c>
      <c r="H733" s="184" t="s">
        <v>273</v>
      </c>
      <c r="T733" s="184" t="s">
        <v>719</v>
      </c>
    </row>
    <row r="734" spans="1:20">
      <c r="A734" s="182">
        <v>44607</v>
      </c>
      <c r="B734" s="183">
        <v>0.7141319444444445</v>
      </c>
      <c r="C734" s="184" t="s">
        <v>67</v>
      </c>
      <c r="D734" s="184" t="s">
        <v>91</v>
      </c>
      <c r="E734" s="184" t="s">
        <v>96</v>
      </c>
      <c r="F734" s="182">
        <v>44638</v>
      </c>
      <c r="G734" s="186" t="s">
        <v>94</v>
      </c>
      <c r="H734" s="184" t="s">
        <v>285</v>
      </c>
    </row>
    <row r="735" spans="1:20">
      <c r="A735" s="182">
        <v>44608</v>
      </c>
      <c r="B735" s="183">
        <v>0.3802314814814815</v>
      </c>
      <c r="C735" s="184" t="s">
        <v>67</v>
      </c>
      <c r="D735" s="184" t="s">
        <v>68</v>
      </c>
      <c r="E735" s="184" t="s">
        <v>96</v>
      </c>
      <c r="F735" s="182">
        <v>44638</v>
      </c>
      <c r="G735" s="186" t="s">
        <v>94</v>
      </c>
      <c r="H735" s="184" t="s">
        <v>261</v>
      </c>
      <c r="T735" s="184" t="s">
        <v>720</v>
      </c>
    </row>
    <row r="736" spans="1:20">
      <c r="A736" s="182">
        <v>44608</v>
      </c>
      <c r="B736" s="183">
        <v>0.41640046296296296</v>
      </c>
      <c r="C736" s="184" t="s">
        <v>67</v>
      </c>
      <c r="D736" s="184" t="s">
        <v>91</v>
      </c>
      <c r="E736" s="184" t="s">
        <v>96</v>
      </c>
      <c r="F736" s="182">
        <v>44638</v>
      </c>
      <c r="G736" s="186" t="s">
        <v>94</v>
      </c>
      <c r="H736" s="184" t="s">
        <v>120</v>
      </c>
    </row>
    <row r="737" spans="1:20">
      <c r="A737" s="182">
        <v>44608</v>
      </c>
      <c r="B737" s="183">
        <v>0.47636574074074073</v>
      </c>
      <c r="C737" s="184" t="s">
        <v>67</v>
      </c>
      <c r="D737" s="184" t="s">
        <v>68</v>
      </c>
      <c r="E737" s="184" t="s">
        <v>96</v>
      </c>
      <c r="F737" s="182">
        <v>44638</v>
      </c>
      <c r="G737" s="186" t="s">
        <v>114</v>
      </c>
      <c r="H737" s="184" t="s">
        <v>256</v>
      </c>
      <c r="T737" s="184" t="s">
        <v>721</v>
      </c>
    </row>
    <row r="738" spans="1:20">
      <c r="A738" s="182">
        <v>44608</v>
      </c>
      <c r="B738" s="183">
        <v>0.68587962962962967</v>
      </c>
      <c r="C738" s="184" t="s">
        <v>67</v>
      </c>
      <c r="D738" s="184" t="s">
        <v>91</v>
      </c>
      <c r="E738" s="184" t="s">
        <v>96</v>
      </c>
      <c r="F738" s="182">
        <v>44638</v>
      </c>
      <c r="G738" s="186" t="s">
        <v>114</v>
      </c>
      <c r="H738" s="184" t="s">
        <v>189</v>
      </c>
    </row>
    <row r="739" spans="1:20">
      <c r="A739" s="182">
        <v>44608</v>
      </c>
      <c r="B739" s="183">
        <v>0.68620370370370365</v>
      </c>
      <c r="C739" s="184" t="s">
        <v>67</v>
      </c>
      <c r="D739" s="184" t="s">
        <v>78</v>
      </c>
      <c r="E739" s="184" t="s">
        <v>69</v>
      </c>
      <c r="F739" s="182">
        <v>44631</v>
      </c>
      <c r="G739" s="186" t="s">
        <v>70</v>
      </c>
      <c r="H739" s="184" t="s">
        <v>86</v>
      </c>
    </row>
    <row r="740" spans="1:20">
      <c r="A740" s="182">
        <v>44609</v>
      </c>
      <c r="B740" s="183">
        <v>0.66723379629629631</v>
      </c>
      <c r="C740" s="184" t="s">
        <v>67</v>
      </c>
      <c r="D740" s="184" t="s">
        <v>91</v>
      </c>
      <c r="E740" s="184" t="s">
        <v>96</v>
      </c>
      <c r="F740" s="182">
        <v>44638</v>
      </c>
      <c r="G740" s="186" t="s">
        <v>94</v>
      </c>
      <c r="H740" s="184" t="s">
        <v>218</v>
      </c>
    </row>
    <row r="741" spans="1:20">
      <c r="A741" s="182">
        <v>44613</v>
      </c>
      <c r="B741" s="183">
        <v>0.39952546296296299</v>
      </c>
      <c r="C741" s="184" t="s">
        <v>73</v>
      </c>
      <c r="D741" s="184" t="s">
        <v>91</v>
      </c>
      <c r="E741" s="184" t="s">
        <v>96</v>
      </c>
      <c r="F741" s="182">
        <v>44638</v>
      </c>
      <c r="G741" s="186" t="s">
        <v>94</v>
      </c>
      <c r="H741" s="184" t="s">
        <v>193</v>
      </c>
    </row>
    <row r="742" spans="1:20">
      <c r="A742" s="182">
        <v>44613</v>
      </c>
      <c r="B742" s="183">
        <v>0.41944444444444445</v>
      </c>
      <c r="C742" s="184" t="s">
        <v>73</v>
      </c>
      <c r="D742" s="184" t="s">
        <v>68</v>
      </c>
      <c r="E742" s="184" t="s">
        <v>96</v>
      </c>
      <c r="F742" s="182">
        <v>44638</v>
      </c>
      <c r="G742" s="186" t="s">
        <v>94</v>
      </c>
      <c r="H742" s="184" t="s">
        <v>305</v>
      </c>
      <c r="T742" s="184" t="s">
        <v>722</v>
      </c>
    </row>
    <row r="743" spans="1:20">
      <c r="A743" s="182">
        <v>44613</v>
      </c>
      <c r="B743" s="183">
        <v>0.54343750000000002</v>
      </c>
      <c r="C743" s="184" t="s">
        <v>73</v>
      </c>
      <c r="D743" s="184" t="s">
        <v>78</v>
      </c>
      <c r="E743" s="184" t="s">
        <v>96</v>
      </c>
      <c r="F743" s="182">
        <v>44638</v>
      </c>
      <c r="G743" s="186" t="s">
        <v>94</v>
      </c>
      <c r="H743" s="184" t="s">
        <v>106</v>
      </c>
    </row>
    <row r="744" spans="1:20">
      <c r="A744" s="182">
        <v>44613</v>
      </c>
      <c r="B744" s="183">
        <v>0.60406250000000006</v>
      </c>
      <c r="C744" s="184" t="s">
        <v>73</v>
      </c>
      <c r="D744" s="184" t="s">
        <v>68</v>
      </c>
      <c r="E744" s="184" t="s">
        <v>69</v>
      </c>
      <c r="F744" s="182">
        <v>44631</v>
      </c>
      <c r="G744" s="186" t="s">
        <v>94</v>
      </c>
      <c r="H744" s="184" t="s">
        <v>101</v>
      </c>
      <c r="T744" s="184" t="s">
        <v>723</v>
      </c>
    </row>
    <row r="745" spans="1:20">
      <c r="A745" s="182">
        <v>44613</v>
      </c>
      <c r="B745" s="183">
        <v>0.6965972222222222</v>
      </c>
      <c r="C745" s="184" t="s">
        <v>73</v>
      </c>
      <c r="D745" s="184" t="s">
        <v>68</v>
      </c>
      <c r="E745" s="184" t="s">
        <v>69</v>
      </c>
      <c r="F745" s="182">
        <v>44610</v>
      </c>
      <c r="G745" s="186" t="s">
        <v>99</v>
      </c>
      <c r="H745" s="184" t="s">
        <v>179</v>
      </c>
      <c r="T745" s="184" t="s">
        <v>724</v>
      </c>
    </row>
    <row r="746" spans="1:20">
      <c r="A746" s="182">
        <v>44614</v>
      </c>
      <c r="B746" s="183">
        <v>0.55806712962962968</v>
      </c>
      <c r="C746" s="184" t="s">
        <v>67</v>
      </c>
      <c r="D746" s="184" t="s">
        <v>68</v>
      </c>
      <c r="E746" s="184" t="s">
        <v>96</v>
      </c>
      <c r="F746" s="182">
        <v>44638</v>
      </c>
      <c r="G746" s="186" t="s">
        <v>94</v>
      </c>
      <c r="H746" s="184" t="s">
        <v>322</v>
      </c>
      <c r="T746" s="184" t="s">
        <v>482</v>
      </c>
    </row>
    <row r="747" spans="1:20">
      <c r="A747" s="182">
        <v>44616</v>
      </c>
      <c r="B747" s="183">
        <v>0.45086805555555554</v>
      </c>
      <c r="C747" s="184" t="s">
        <v>73</v>
      </c>
      <c r="D747" s="184" t="s">
        <v>68</v>
      </c>
      <c r="E747" s="184" t="s">
        <v>96</v>
      </c>
      <c r="F747" s="182">
        <v>44638</v>
      </c>
      <c r="G747" s="186" t="s">
        <v>94</v>
      </c>
      <c r="H747" s="184" t="s">
        <v>185</v>
      </c>
      <c r="T747" s="184" t="s">
        <v>729</v>
      </c>
    </row>
    <row r="748" spans="1:20">
      <c r="A748" s="182">
        <v>44616</v>
      </c>
      <c r="B748" s="183">
        <v>0.50168981481481478</v>
      </c>
      <c r="C748" s="184" t="s">
        <v>73</v>
      </c>
      <c r="D748" s="184" t="s">
        <v>68</v>
      </c>
      <c r="E748" s="184" t="s">
        <v>96</v>
      </c>
      <c r="F748" s="182">
        <v>44638</v>
      </c>
      <c r="G748" s="186" t="s">
        <v>99</v>
      </c>
      <c r="H748" s="184" t="s">
        <v>322</v>
      </c>
      <c r="T748" s="184" t="s">
        <v>730</v>
      </c>
    </row>
    <row r="749" spans="1:20">
      <c r="A749" s="182">
        <v>44617</v>
      </c>
      <c r="B749" s="183">
        <v>0.54731481481481481</v>
      </c>
      <c r="C749" s="184" t="s">
        <v>73</v>
      </c>
      <c r="D749" s="184" t="s">
        <v>68</v>
      </c>
      <c r="E749" s="184" t="s">
        <v>69</v>
      </c>
      <c r="F749" s="182">
        <v>44631</v>
      </c>
      <c r="G749" s="186" t="s">
        <v>99</v>
      </c>
      <c r="H749" s="184" t="s">
        <v>87</v>
      </c>
      <c r="T749" s="184" t="s">
        <v>161</v>
      </c>
    </row>
    <row r="750" spans="1:20">
      <c r="A750" s="182">
        <v>44617</v>
      </c>
      <c r="B750" s="183">
        <v>0.59366898148148151</v>
      </c>
      <c r="C750" s="184" t="s">
        <v>73</v>
      </c>
      <c r="D750" s="184" t="s">
        <v>68</v>
      </c>
      <c r="E750" s="184" t="s">
        <v>69</v>
      </c>
      <c r="F750" s="182">
        <v>44631</v>
      </c>
      <c r="G750" s="186" t="s">
        <v>94</v>
      </c>
      <c r="H750" s="184" t="s">
        <v>101</v>
      </c>
      <c r="T750" s="184" t="s">
        <v>731</v>
      </c>
    </row>
    <row r="751" spans="1:20">
      <c r="A751" s="182">
        <v>44617</v>
      </c>
      <c r="B751" s="183">
        <v>0.68769675925925933</v>
      </c>
      <c r="C751" s="184" t="s">
        <v>67</v>
      </c>
      <c r="D751" s="184" t="s">
        <v>68</v>
      </c>
      <c r="E751" s="184" t="s">
        <v>96</v>
      </c>
      <c r="F751" s="182">
        <v>44638</v>
      </c>
      <c r="G751" s="186" t="s">
        <v>94</v>
      </c>
      <c r="H751" s="184" t="s">
        <v>185</v>
      </c>
      <c r="T751" s="184" t="s">
        <v>732</v>
      </c>
    </row>
    <row r="752" spans="1:20">
      <c r="A752" s="182">
        <v>44617</v>
      </c>
      <c r="B752" s="183">
        <v>0.71425925925925926</v>
      </c>
      <c r="C752" s="184" t="s">
        <v>67</v>
      </c>
      <c r="D752" s="184" t="s">
        <v>68</v>
      </c>
      <c r="E752" s="184" t="s">
        <v>69</v>
      </c>
      <c r="F752" s="182">
        <v>44631</v>
      </c>
      <c r="G752" s="186" t="s">
        <v>94</v>
      </c>
      <c r="H752" s="184" t="s">
        <v>103</v>
      </c>
      <c r="T752" s="184" t="s">
        <v>733</v>
      </c>
    </row>
    <row r="753" spans="1:20">
      <c r="A753" s="182">
        <v>44620</v>
      </c>
      <c r="B753" s="183">
        <v>0.38090277777777781</v>
      </c>
      <c r="C753" s="184" t="s">
        <v>67</v>
      </c>
      <c r="D753" s="184" t="s">
        <v>68</v>
      </c>
      <c r="E753" s="184" t="s">
        <v>96</v>
      </c>
      <c r="F753" s="182">
        <v>44638</v>
      </c>
      <c r="G753" s="186" t="s">
        <v>94</v>
      </c>
      <c r="H753" s="184" t="s">
        <v>308</v>
      </c>
      <c r="T753" s="184" t="s">
        <v>734</v>
      </c>
    </row>
    <row r="754" spans="1:20">
      <c r="A754" s="182">
        <v>44620</v>
      </c>
      <c r="B754" s="183">
        <v>0.40554398148148146</v>
      </c>
      <c r="C754" s="184" t="s">
        <v>67</v>
      </c>
      <c r="D754" s="184" t="s">
        <v>68</v>
      </c>
      <c r="E754" s="184" t="s">
        <v>96</v>
      </c>
      <c r="F754" s="182">
        <v>44638</v>
      </c>
      <c r="G754" s="186" t="s">
        <v>94</v>
      </c>
      <c r="H754" s="184" t="s">
        <v>190</v>
      </c>
      <c r="T754" s="184" t="s">
        <v>735</v>
      </c>
    </row>
    <row r="755" spans="1:20">
      <c r="A755" s="182">
        <v>44621</v>
      </c>
      <c r="B755" s="183">
        <v>0.38231481481481483</v>
      </c>
      <c r="C755" s="184" t="s">
        <v>67</v>
      </c>
      <c r="D755" s="184" t="s">
        <v>68</v>
      </c>
      <c r="E755" s="184" t="s">
        <v>96</v>
      </c>
      <c r="F755" s="182">
        <v>44638</v>
      </c>
      <c r="G755" s="186" t="s">
        <v>94</v>
      </c>
      <c r="H755" s="184" t="s">
        <v>206</v>
      </c>
      <c r="T755" s="184" t="s">
        <v>737</v>
      </c>
    </row>
    <row r="756" spans="1:20">
      <c r="A756" s="182">
        <v>44621</v>
      </c>
      <c r="B756" s="183">
        <v>0.43428240740740742</v>
      </c>
      <c r="C756" s="184" t="s">
        <v>67</v>
      </c>
      <c r="D756" s="184" t="s">
        <v>68</v>
      </c>
      <c r="E756" s="184" t="s">
        <v>96</v>
      </c>
      <c r="F756" s="182">
        <v>44638</v>
      </c>
      <c r="G756" s="186" t="s">
        <v>94</v>
      </c>
      <c r="H756" s="184" t="s">
        <v>209</v>
      </c>
      <c r="T756" s="184" t="s">
        <v>737</v>
      </c>
    </row>
    <row r="757" spans="1:20">
      <c r="A757" s="182">
        <v>44621</v>
      </c>
      <c r="B757" s="183">
        <v>0.43468749999999995</v>
      </c>
      <c r="C757" s="184" t="s">
        <v>67</v>
      </c>
      <c r="D757" s="184" t="s">
        <v>68</v>
      </c>
      <c r="E757" s="184" t="s">
        <v>96</v>
      </c>
      <c r="F757" s="182">
        <v>44638</v>
      </c>
      <c r="G757" s="186" t="s">
        <v>99</v>
      </c>
      <c r="H757" s="184" t="s">
        <v>206</v>
      </c>
      <c r="T757" s="184" t="s">
        <v>738</v>
      </c>
    </row>
    <row r="758" spans="1:20">
      <c r="A758" s="182">
        <v>44621</v>
      </c>
      <c r="B758" s="183">
        <v>0.43527777777777782</v>
      </c>
      <c r="C758" s="184" t="s">
        <v>67</v>
      </c>
      <c r="D758" s="184" t="s">
        <v>68</v>
      </c>
      <c r="E758" s="184" t="s">
        <v>96</v>
      </c>
      <c r="F758" s="182">
        <v>44638</v>
      </c>
      <c r="G758" s="186" t="s">
        <v>94</v>
      </c>
      <c r="H758" s="184" t="s">
        <v>209</v>
      </c>
      <c r="T758" s="184" t="s">
        <v>738</v>
      </c>
    </row>
    <row r="759" spans="1:20">
      <c r="A759" s="182">
        <v>44621</v>
      </c>
      <c r="B759" s="183">
        <v>0.68553240740740751</v>
      </c>
      <c r="C759" s="184" t="s">
        <v>67</v>
      </c>
      <c r="D759" s="184" t="s">
        <v>91</v>
      </c>
      <c r="E759" s="184" t="s">
        <v>96</v>
      </c>
      <c r="F759" s="182">
        <v>44638</v>
      </c>
      <c r="G759" s="186" t="s">
        <v>94</v>
      </c>
      <c r="H759" s="184" t="s">
        <v>337</v>
      </c>
    </row>
    <row r="760" spans="1:20">
      <c r="A760" s="182">
        <v>44621</v>
      </c>
      <c r="B760" s="183">
        <v>0.69406249999999992</v>
      </c>
      <c r="C760" s="184" t="s">
        <v>67</v>
      </c>
      <c r="D760" s="184" t="s">
        <v>68</v>
      </c>
      <c r="E760" s="184" t="s">
        <v>96</v>
      </c>
      <c r="F760" s="182">
        <v>44638</v>
      </c>
      <c r="G760" s="186" t="s">
        <v>114</v>
      </c>
      <c r="H760" s="184" t="s">
        <v>213</v>
      </c>
      <c r="T760" s="184" t="s">
        <v>739</v>
      </c>
    </row>
    <row r="761" spans="1:20">
      <c r="A761" s="182">
        <v>44622</v>
      </c>
      <c r="B761" s="183">
        <v>0.46143518518518517</v>
      </c>
      <c r="C761" s="184" t="s">
        <v>67</v>
      </c>
      <c r="D761" s="184" t="s">
        <v>91</v>
      </c>
      <c r="E761" s="184" t="s">
        <v>96</v>
      </c>
      <c r="F761" s="182">
        <v>44638</v>
      </c>
      <c r="G761" s="186" t="s">
        <v>114</v>
      </c>
      <c r="H761" s="184" t="s">
        <v>296</v>
      </c>
    </row>
    <row r="762" spans="1:20">
      <c r="A762" s="182">
        <v>44622</v>
      </c>
      <c r="B762" s="183">
        <v>0.65857638888888892</v>
      </c>
      <c r="C762" s="184" t="s">
        <v>67</v>
      </c>
      <c r="D762" s="184" t="s">
        <v>68</v>
      </c>
      <c r="E762" s="184" t="s">
        <v>69</v>
      </c>
      <c r="F762" s="182">
        <v>44631</v>
      </c>
      <c r="G762" s="186" t="s">
        <v>94</v>
      </c>
      <c r="H762" s="184" t="s">
        <v>182</v>
      </c>
      <c r="T762" s="184" t="s">
        <v>741</v>
      </c>
    </row>
    <row r="763" spans="1:20">
      <c r="A763" s="182">
        <v>44623</v>
      </c>
      <c r="B763" s="183">
        <v>0.60281249999999997</v>
      </c>
      <c r="C763" s="184" t="s">
        <v>73</v>
      </c>
      <c r="D763" s="184" t="s">
        <v>91</v>
      </c>
      <c r="E763" s="184" t="s">
        <v>69</v>
      </c>
      <c r="F763" s="182">
        <v>44631</v>
      </c>
      <c r="G763" s="186" t="s">
        <v>112</v>
      </c>
      <c r="H763" s="184" t="s">
        <v>120</v>
      </c>
    </row>
    <row r="764" spans="1:20">
      <c r="A764" s="182">
        <v>44623</v>
      </c>
      <c r="B764" s="183">
        <v>0.67320601851851858</v>
      </c>
      <c r="C764" s="184" t="s">
        <v>73</v>
      </c>
      <c r="D764" s="184" t="s">
        <v>68</v>
      </c>
      <c r="E764" s="184" t="s">
        <v>96</v>
      </c>
      <c r="F764" s="182">
        <v>44638</v>
      </c>
      <c r="G764" s="186" t="s">
        <v>94</v>
      </c>
      <c r="H764" s="184" t="s">
        <v>225</v>
      </c>
      <c r="T764" s="184" t="s">
        <v>742</v>
      </c>
    </row>
    <row r="765" spans="1:20">
      <c r="A765" s="182">
        <v>44623</v>
      </c>
      <c r="B765" s="183">
        <v>0.68027777777777787</v>
      </c>
      <c r="C765" s="184" t="s">
        <v>73</v>
      </c>
      <c r="D765" s="184" t="s">
        <v>68</v>
      </c>
      <c r="E765" s="184" t="s">
        <v>96</v>
      </c>
      <c r="F765" s="182">
        <v>44638</v>
      </c>
      <c r="G765" s="186" t="s">
        <v>99</v>
      </c>
      <c r="H765" s="184" t="s">
        <v>213</v>
      </c>
      <c r="T765" s="184" t="s">
        <v>742</v>
      </c>
    </row>
    <row r="766" spans="1:20">
      <c r="A766" s="182">
        <v>44624</v>
      </c>
      <c r="B766" s="183">
        <v>0.48891203703703701</v>
      </c>
      <c r="C766" s="184" t="s">
        <v>73</v>
      </c>
      <c r="D766" s="184" t="s">
        <v>91</v>
      </c>
      <c r="E766" s="184" t="s">
        <v>69</v>
      </c>
      <c r="F766" s="182">
        <v>44631</v>
      </c>
      <c r="G766" s="186" t="s">
        <v>112</v>
      </c>
      <c r="H766" s="184" t="s">
        <v>218</v>
      </c>
    </row>
    <row r="767" spans="1:20">
      <c r="A767" s="182">
        <v>44624</v>
      </c>
      <c r="B767" s="183">
        <v>0.55454861111111109</v>
      </c>
      <c r="C767" s="184" t="s">
        <v>67</v>
      </c>
      <c r="D767" s="184" t="s">
        <v>68</v>
      </c>
      <c r="E767" s="184" t="s">
        <v>69</v>
      </c>
      <c r="F767" s="182">
        <v>44631</v>
      </c>
      <c r="G767" s="186" t="s">
        <v>94</v>
      </c>
      <c r="H767" s="184" t="s">
        <v>117</v>
      </c>
      <c r="T767" s="184" t="s">
        <v>744</v>
      </c>
    </row>
    <row r="768" spans="1:20">
      <c r="A768" s="182">
        <v>44627</v>
      </c>
      <c r="B768" s="183">
        <v>0.39703703703703702</v>
      </c>
      <c r="C768" s="184" t="s">
        <v>67</v>
      </c>
      <c r="D768" s="184" t="s">
        <v>91</v>
      </c>
      <c r="E768" s="184" t="s">
        <v>69</v>
      </c>
      <c r="F768" s="182">
        <v>44631</v>
      </c>
      <c r="G768" s="186" t="s">
        <v>94</v>
      </c>
      <c r="H768" s="184" t="s">
        <v>193</v>
      </c>
    </row>
    <row r="769" spans="1:20">
      <c r="A769" s="182">
        <v>44630</v>
      </c>
      <c r="B769" s="183">
        <v>0.70217592592592604</v>
      </c>
      <c r="C769" s="184" t="s">
        <v>67</v>
      </c>
      <c r="D769" s="184" t="s">
        <v>68</v>
      </c>
      <c r="E769" s="184" t="s">
        <v>96</v>
      </c>
      <c r="F769" s="182">
        <v>44638</v>
      </c>
      <c r="G769" s="186" t="s">
        <v>94</v>
      </c>
      <c r="H769" s="184" t="s">
        <v>225</v>
      </c>
      <c r="T769" s="184" t="s">
        <v>750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11D5-4A05-4B07-B666-DCE7B3B3EB1D}">
  <sheetPr codeName="Sheet12">
    <pageSetUpPr fitToPage="1"/>
  </sheetPr>
  <dimension ref="A1:AC56"/>
  <sheetViews>
    <sheetView showGridLines="0" zoomScale="70" zoomScaleNormal="70" workbookViewId="0">
      <pane xSplit="9" ySplit="4" topLeftCell="J21" activePane="bottomRight" state="frozen"/>
      <selection activeCell="M36" sqref="M36:O36"/>
      <selection pane="topRight" activeCell="M36" sqref="M36:O36"/>
      <selection pane="bottomLeft" activeCell="M36" sqref="M36:O36"/>
      <selection pane="bottomRight" activeCell="M36" sqref="M36:O36"/>
    </sheetView>
  </sheetViews>
  <sheetFormatPr defaultColWidth="8.25" defaultRowHeight="14"/>
  <cols>
    <col min="1" max="1" width="3.33203125" style="2" customWidth="1"/>
    <col min="2" max="2" width="13.58203125" style="2" customWidth="1"/>
    <col min="3" max="3" width="10.08203125" style="2" hidden="1" customWidth="1"/>
    <col min="4" max="4" width="10" style="2" bestFit="1" customWidth="1"/>
    <col min="5" max="5" width="6.08203125" style="2" bestFit="1" customWidth="1"/>
    <col min="6" max="6" width="5" style="2" bestFit="1" customWidth="1"/>
    <col min="7" max="7" width="8.25" style="2"/>
    <col min="8" max="8" width="1.5" style="2" customWidth="1"/>
    <col min="9" max="9" width="8.25" style="2"/>
    <col min="10" max="21" width="4.08203125" style="2" customWidth="1"/>
    <col min="22" max="22" width="10" style="2" bestFit="1" customWidth="1"/>
    <col min="23" max="23" width="16.58203125" style="2" customWidth="1"/>
    <col min="24" max="24" width="1" style="2" customWidth="1"/>
    <col min="25" max="25" width="14.83203125" style="2" customWidth="1"/>
    <col min="26" max="26" width="27.58203125" style="3" bestFit="1" customWidth="1"/>
    <col min="27" max="27" width="32.58203125" style="3" bestFit="1" customWidth="1"/>
    <col min="28" max="28" width="8.25" style="2"/>
    <col min="29" max="29" width="9.25" style="2" bestFit="1" customWidth="1"/>
    <col min="30" max="16384" width="8.25" style="2"/>
  </cols>
  <sheetData>
    <row r="1" spans="2:27" ht="19">
      <c r="B1" s="1" t="s">
        <v>0</v>
      </c>
      <c r="C1" s="1"/>
    </row>
    <row r="2" spans="2:27" ht="20.25" customHeight="1" thickBot="1">
      <c r="B2" s="4" t="s">
        <v>683</v>
      </c>
      <c r="C2" s="4"/>
      <c r="F2" s="5" t="s">
        <v>2</v>
      </c>
    </row>
    <row r="3" spans="2:27" ht="19.5" customHeight="1">
      <c r="B3" s="6"/>
      <c r="C3" s="7"/>
      <c r="D3" s="8"/>
      <c r="E3" s="9" t="s">
        <v>3</v>
      </c>
      <c r="F3" s="10" t="s">
        <v>4</v>
      </c>
      <c r="G3" s="11" t="s">
        <v>5</v>
      </c>
      <c r="H3" s="12"/>
      <c r="I3" s="13" t="s">
        <v>6</v>
      </c>
      <c r="J3" s="341" t="s">
        <v>7</v>
      </c>
      <c r="K3" s="342"/>
      <c r="L3" s="343"/>
      <c r="M3" s="341" t="s">
        <v>8</v>
      </c>
      <c r="N3" s="342"/>
      <c r="O3" s="344"/>
      <c r="P3" s="341" t="s">
        <v>9</v>
      </c>
      <c r="Q3" s="342"/>
      <c r="R3" s="343"/>
      <c r="S3" s="341" t="s">
        <v>10</v>
      </c>
      <c r="T3" s="342"/>
      <c r="U3" s="343"/>
      <c r="V3" s="14" t="s">
        <v>11</v>
      </c>
      <c r="W3" s="14" t="s">
        <v>12</v>
      </c>
      <c r="Y3" s="15" t="s">
        <v>13</v>
      </c>
      <c r="Z3" s="16"/>
      <c r="AA3" s="16"/>
    </row>
    <row r="4" spans="2:27" ht="19.5" hidden="1" customHeight="1">
      <c r="B4" s="6"/>
      <c r="C4" s="7"/>
      <c r="D4" s="8"/>
      <c r="E4" s="17"/>
      <c r="F4" s="18"/>
      <c r="G4" s="19"/>
      <c r="H4" s="12"/>
      <c r="I4" s="20"/>
      <c r="J4" s="21" t="str">
        <f>J3</f>
        <v>飯塚</v>
      </c>
      <c r="K4" s="22" t="str">
        <f>J3</f>
        <v>飯塚</v>
      </c>
      <c r="L4" s="23" t="str">
        <f>J3</f>
        <v>飯塚</v>
      </c>
      <c r="M4" s="21" t="str">
        <f>M3</f>
        <v>田川</v>
      </c>
      <c r="N4" s="22" t="str">
        <f>M3</f>
        <v>田川</v>
      </c>
      <c r="O4" s="24" t="str">
        <f>M3</f>
        <v>田川</v>
      </c>
      <c r="P4" s="21" t="str">
        <f>P3</f>
        <v>直鞍</v>
      </c>
      <c r="Q4" s="22" t="str">
        <f>P3</f>
        <v>直鞍</v>
      </c>
      <c r="R4" s="23" t="str">
        <f>P3</f>
        <v>直鞍</v>
      </c>
      <c r="S4" s="21" t="str">
        <f>S3</f>
        <v>連合会</v>
      </c>
      <c r="T4" s="22" t="str">
        <f>S3</f>
        <v>連合会</v>
      </c>
      <c r="U4" s="23" t="str">
        <f>S3</f>
        <v>連合会</v>
      </c>
      <c r="V4" s="23"/>
      <c r="W4" s="23"/>
      <c r="Y4" s="25"/>
      <c r="Z4" s="26"/>
      <c r="AA4" s="27"/>
    </row>
    <row r="5" spans="2:27" ht="19.5" customHeight="1">
      <c r="B5" s="28"/>
      <c r="C5" s="29"/>
      <c r="D5" s="30"/>
      <c r="E5" s="31"/>
      <c r="F5" s="32"/>
      <c r="G5" s="33"/>
      <c r="H5" s="34"/>
      <c r="I5" s="35"/>
      <c r="J5" s="36" t="s">
        <v>14</v>
      </c>
      <c r="K5" s="31" t="s">
        <v>15</v>
      </c>
      <c r="L5" s="37" t="s">
        <v>16</v>
      </c>
      <c r="M5" s="36" t="s">
        <v>14</v>
      </c>
      <c r="N5" s="31" t="s">
        <v>15</v>
      </c>
      <c r="O5" s="37" t="s">
        <v>16</v>
      </c>
      <c r="P5" s="36" t="s">
        <v>14</v>
      </c>
      <c r="Q5" s="31" t="s">
        <v>15</v>
      </c>
      <c r="R5" s="37" t="s">
        <v>16</v>
      </c>
      <c r="S5" s="36" t="s">
        <v>14</v>
      </c>
      <c r="T5" s="31" t="s">
        <v>15</v>
      </c>
      <c r="U5" s="37" t="s">
        <v>16</v>
      </c>
      <c r="V5" s="38"/>
      <c r="W5" s="38"/>
      <c r="Y5" s="39"/>
      <c r="Z5" s="36" t="s">
        <v>17</v>
      </c>
      <c r="AA5" s="37" t="s">
        <v>18</v>
      </c>
    </row>
    <row r="6" spans="2:27" ht="19.5" customHeight="1">
      <c r="B6" s="345" t="s">
        <v>19</v>
      </c>
      <c r="C6" s="40" t="str">
        <f>B6</f>
        <v>玉掛</v>
      </c>
      <c r="D6" s="41">
        <v>44665</v>
      </c>
      <c r="E6" s="42" t="s">
        <v>684</v>
      </c>
      <c r="F6" s="263">
        <f>40-10</f>
        <v>30</v>
      </c>
      <c r="G6" s="44">
        <f t="shared" ref="G6:G12" si="0">F6-I6</f>
        <v>0</v>
      </c>
      <c r="H6" s="45"/>
      <c r="I6" s="265">
        <f t="shared" ref="I6:I11" si="1">SUM(J6:U6)</f>
        <v>30</v>
      </c>
      <c r="J6" s="266">
        <v>1</v>
      </c>
      <c r="K6" s="267">
        <f>1+1-1</f>
        <v>1</v>
      </c>
      <c r="L6" s="268">
        <f>1+1-1+2+1+2+1-1+4+1+1+1+2+3+1+1-1-1+1</f>
        <v>19</v>
      </c>
      <c r="M6" s="266"/>
      <c r="N6" s="267"/>
      <c r="O6" s="268"/>
      <c r="P6" s="266"/>
      <c r="Q6" s="267"/>
      <c r="R6" s="268">
        <f>2+1+2+1+2+1</f>
        <v>9</v>
      </c>
      <c r="S6" s="266"/>
      <c r="T6" s="267"/>
      <c r="U6" s="268">
        <f>1-1</f>
        <v>0</v>
      </c>
      <c r="V6" s="269">
        <v>44655</v>
      </c>
      <c r="W6" s="50"/>
      <c r="Y6" s="51"/>
      <c r="Z6" s="52" t="s">
        <v>764</v>
      </c>
      <c r="AA6" s="52" t="s">
        <v>763</v>
      </c>
    </row>
    <row r="7" spans="2:27" ht="19.5" customHeight="1">
      <c r="B7" s="339"/>
      <c r="C7" s="54" t="str">
        <f>B6</f>
        <v>玉掛</v>
      </c>
      <c r="D7" s="55">
        <v>44742</v>
      </c>
      <c r="E7" s="42" t="s">
        <v>684</v>
      </c>
      <c r="F7" s="56">
        <v>40</v>
      </c>
      <c r="G7" s="44">
        <f t="shared" si="0"/>
        <v>3</v>
      </c>
      <c r="H7" s="45"/>
      <c r="I7" s="276">
        <f t="shared" si="1"/>
        <v>37</v>
      </c>
      <c r="J7" s="277"/>
      <c r="K7" s="283">
        <f>1-1+1</f>
        <v>1</v>
      </c>
      <c r="L7" s="279">
        <f>1+2-1+3+2+1+1+3+1-2+1+2+3-3+1+1+1-1</f>
        <v>16</v>
      </c>
      <c r="M7" s="277">
        <v>2</v>
      </c>
      <c r="N7" s="283"/>
      <c r="O7" s="279">
        <f>1+1+1+1+1</f>
        <v>5</v>
      </c>
      <c r="P7" s="277"/>
      <c r="Q7" s="283"/>
      <c r="R7" s="279">
        <f>3+1+1+1+1+1+2+2+1+1+1+1+1+1-1-2-2</f>
        <v>13</v>
      </c>
      <c r="S7" s="277"/>
      <c r="T7" s="283"/>
      <c r="U7" s="279">
        <f>1-1</f>
        <v>0</v>
      </c>
      <c r="V7" s="280">
        <v>44739</v>
      </c>
      <c r="W7" s="61"/>
      <c r="Y7" s="51"/>
      <c r="Z7" s="52" t="s">
        <v>762</v>
      </c>
      <c r="AA7" s="52" t="s">
        <v>763</v>
      </c>
    </row>
    <row r="8" spans="2:27" ht="19.5" customHeight="1">
      <c r="B8" s="339"/>
      <c r="C8" s="54" t="str">
        <f>B6</f>
        <v>玉掛</v>
      </c>
      <c r="D8" s="41">
        <v>44847</v>
      </c>
      <c r="E8" s="202" t="s">
        <v>685</v>
      </c>
      <c r="F8" s="204">
        <v>30</v>
      </c>
      <c r="G8" s="44">
        <f t="shared" si="0"/>
        <v>3</v>
      </c>
      <c r="H8" s="45"/>
      <c r="I8" s="265">
        <f t="shared" si="1"/>
        <v>27</v>
      </c>
      <c r="J8" s="266"/>
      <c r="K8" s="267"/>
      <c r="L8" s="268">
        <f>2+1+1+1+1-2</f>
        <v>4</v>
      </c>
      <c r="M8" s="266">
        <v>1</v>
      </c>
      <c r="N8" s="267"/>
      <c r="O8" s="268">
        <f>1+1+1+1+2+3+1</f>
        <v>10</v>
      </c>
      <c r="P8" s="266"/>
      <c r="Q8" s="267"/>
      <c r="R8" s="268">
        <f>3+1+1+1+2+2+1+1+2-1-2</f>
        <v>11</v>
      </c>
      <c r="S8" s="266"/>
      <c r="T8" s="267"/>
      <c r="U8" s="268">
        <v>1</v>
      </c>
      <c r="V8" s="269">
        <v>44837</v>
      </c>
      <c r="W8" s="50"/>
      <c r="Y8" s="51"/>
      <c r="Z8" s="52" t="s">
        <v>769</v>
      </c>
      <c r="AA8" s="52" t="s">
        <v>770</v>
      </c>
    </row>
    <row r="9" spans="2:27" ht="19.5" customHeight="1">
      <c r="B9" s="339"/>
      <c r="C9" s="54" t="str">
        <f>B6</f>
        <v>玉掛</v>
      </c>
      <c r="D9" s="41">
        <v>44910</v>
      </c>
      <c r="E9" s="42" t="s">
        <v>684</v>
      </c>
      <c r="F9" s="56">
        <v>40</v>
      </c>
      <c r="G9" s="44">
        <f t="shared" si="0"/>
        <v>1</v>
      </c>
      <c r="H9" s="45"/>
      <c r="I9" s="265">
        <f t="shared" si="1"/>
        <v>39</v>
      </c>
      <c r="J9" s="266"/>
      <c r="K9" s="267">
        <v>1</v>
      </c>
      <c r="L9" s="268">
        <f>3+1+1+2+3+1+1+2+1+2+1+4+2+1+2+1+1-1+1-1-1-1</f>
        <v>26</v>
      </c>
      <c r="M9" s="266"/>
      <c r="N9" s="267"/>
      <c r="O9" s="268">
        <v>1</v>
      </c>
      <c r="P9" s="266"/>
      <c r="Q9" s="267"/>
      <c r="R9" s="268">
        <f>1+1+3+1+1+1-1</f>
        <v>7</v>
      </c>
      <c r="S9" s="266"/>
      <c r="T9" s="267"/>
      <c r="U9" s="268">
        <f>1+1+1-1+2</f>
        <v>4</v>
      </c>
      <c r="V9" s="269">
        <v>44907</v>
      </c>
      <c r="W9" s="50"/>
      <c r="Y9" s="51" t="s">
        <v>978</v>
      </c>
      <c r="Z9" s="52" t="s">
        <v>762</v>
      </c>
      <c r="AA9" s="52" t="s">
        <v>968</v>
      </c>
    </row>
    <row r="10" spans="2:27" ht="20.25" customHeight="1">
      <c r="B10" s="339"/>
      <c r="C10" s="54" t="str">
        <f>B6</f>
        <v>玉掛</v>
      </c>
      <c r="D10" s="41">
        <v>44978</v>
      </c>
      <c r="E10" s="42" t="s">
        <v>684</v>
      </c>
      <c r="F10" s="56">
        <v>30</v>
      </c>
      <c r="G10" s="44">
        <f t="shared" si="0"/>
        <v>3</v>
      </c>
      <c r="H10" s="45"/>
      <c r="I10" s="46">
        <f t="shared" si="1"/>
        <v>27</v>
      </c>
      <c r="J10" s="47">
        <f>1-1</f>
        <v>0</v>
      </c>
      <c r="K10" s="48">
        <f>4+1</f>
        <v>5</v>
      </c>
      <c r="L10" s="49">
        <f>1+2+1+1-1+1-1+1+1+3+1+1+2+1+1-1+1+1+1+1-1-1</f>
        <v>16</v>
      </c>
      <c r="M10" s="47"/>
      <c r="N10" s="48"/>
      <c r="O10" s="49">
        <f>1+2-1</f>
        <v>2</v>
      </c>
      <c r="P10" s="47"/>
      <c r="Q10" s="48"/>
      <c r="R10" s="49">
        <f>1+1</f>
        <v>2</v>
      </c>
      <c r="S10" s="47"/>
      <c r="T10" s="48"/>
      <c r="U10" s="49">
        <f>1+1+1-1</f>
        <v>2</v>
      </c>
      <c r="V10" s="50">
        <v>44972</v>
      </c>
      <c r="W10" s="50"/>
      <c r="Y10" s="51" t="s">
        <v>984</v>
      </c>
      <c r="Z10" s="52" t="s">
        <v>762</v>
      </c>
      <c r="AA10" s="52" t="s">
        <v>725</v>
      </c>
    </row>
    <row r="11" spans="2:27" hidden="1">
      <c r="B11" s="339"/>
      <c r="C11" s="54" t="str">
        <f>B6</f>
        <v>玉掛</v>
      </c>
      <c r="D11" s="41"/>
      <c r="E11" s="42"/>
      <c r="F11" s="56"/>
      <c r="G11" s="44">
        <f t="shared" si="0"/>
        <v>0</v>
      </c>
      <c r="H11" s="45"/>
      <c r="I11" s="46">
        <f t="shared" si="1"/>
        <v>0</v>
      </c>
      <c r="J11" s="47"/>
      <c r="K11" s="48"/>
      <c r="L11" s="49"/>
      <c r="M11" s="47"/>
      <c r="N11" s="48"/>
      <c r="O11" s="49"/>
      <c r="P11" s="47"/>
      <c r="Q11" s="48"/>
      <c r="R11" s="49"/>
      <c r="S11" s="47"/>
      <c r="T11" s="48"/>
      <c r="U11" s="49"/>
      <c r="V11" s="50"/>
      <c r="W11" s="50"/>
      <c r="Y11" s="51"/>
      <c r="Z11" s="52"/>
      <c r="AA11" s="53"/>
    </row>
    <row r="12" spans="2:27" ht="18.649999999999999" hidden="1" customHeight="1">
      <c r="B12" s="340"/>
      <c r="C12" s="54" t="str">
        <f>B6</f>
        <v>玉掛</v>
      </c>
      <c r="D12" s="63"/>
      <c r="E12" s="64"/>
      <c r="F12" s="65"/>
      <c r="G12" s="66">
        <f t="shared" si="0"/>
        <v>0</v>
      </c>
      <c r="H12" s="45"/>
      <c r="I12" s="67"/>
      <c r="J12" s="68"/>
      <c r="K12" s="69"/>
      <c r="L12" s="70"/>
      <c r="M12" s="68"/>
      <c r="N12" s="69"/>
      <c r="O12" s="70"/>
      <c r="P12" s="68"/>
      <c r="Q12" s="69"/>
      <c r="R12" s="70"/>
      <c r="S12" s="68"/>
      <c r="T12" s="69"/>
      <c r="U12" s="70"/>
      <c r="V12" s="71"/>
      <c r="W12" s="71"/>
      <c r="Y12" s="72"/>
      <c r="Z12" s="62"/>
      <c r="AA12" s="73"/>
    </row>
    <row r="13" spans="2:27" ht="19" customHeight="1">
      <c r="B13" s="36"/>
      <c r="C13" s="74"/>
      <c r="D13" s="75"/>
      <c r="E13" s="31"/>
      <c r="F13" s="76"/>
      <c r="G13" s="77"/>
      <c r="H13" s="78"/>
      <c r="I13" s="79"/>
      <c r="J13" s="28" t="s">
        <v>27</v>
      </c>
      <c r="K13" s="76" t="s">
        <v>28</v>
      </c>
      <c r="L13" s="80" t="s">
        <v>29</v>
      </c>
      <c r="M13" s="28" t="s">
        <v>27</v>
      </c>
      <c r="N13" s="76" t="s">
        <v>28</v>
      </c>
      <c r="O13" s="80" t="s">
        <v>29</v>
      </c>
      <c r="P13" s="28" t="s">
        <v>27</v>
      </c>
      <c r="Q13" s="76" t="s">
        <v>28</v>
      </c>
      <c r="R13" s="80" t="s">
        <v>29</v>
      </c>
      <c r="S13" s="28" t="s">
        <v>27</v>
      </c>
      <c r="T13" s="76" t="s">
        <v>28</v>
      </c>
      <c r="U13" s="80" t="s">
        <v>29</v>
      </c>
      <c r="V13" s="81"/>
      <c r="W13" s="81"/>
      <c r="Y13" s="82" t="s">
        <v>30</v>
      </c>
      <c r="Z13" s="36" t="s">
        <v>31</v>
      </c>
      <c r="AA13" s="37" t="s">
        <v>18</v>
      </c>
    </row>
    <row r="14" spans="2:27" ht="19.5" customHeight="1">
      <c r="B14" s="339" t="s">
        <v>32</v>
      </c>
      <c r="C14" s="54" t="str">
        <f>B14</f>
        <v>フォーク</v>
      </c>
      <c r="D14" s="41">
        <v>44709</v>
      </c>
      <c r="E14" s="202" t="s">
        <v>686</v>
      </c>
      <c r="F14" s="43">
        <v>40</v>
      </c>
      <c r="G14" s="83">
        <f t="shared" ref="G14:G20" si="2">F14-I14</f>
        <v>3</v>
      </c>
      <c r="H14" s="45"/>
      <c r="I14" s="276">
        <f t="shared" ref="I14:I23" si="3">SUM(J14:U14)</f>
        <v>37</v>
      </c>
      <c r="J14" s="277"/>
      <c r="K14" s="278">
        <f>1+1+1+3+1-3+1+1+2</f>
        <v>8</v>
      </c>
      <c r="L14" s="279">
        <f>1+1-1</f>
        <v>1</v>
      </c>
      <c r="M14" s="277"/>
      <c r="N14" s="278">
        <f>1+1+1+1+1+1+1+1+1+1+1+1+13-2+1+1+1+1</f>
        <v>27</v>
      </c>
      <c r="O14" s="279">
        <f>20+1-1-7-13</f>
        <v>0</v>
      </c>
      <c r="P14" s="277"/>
      <c r="Q14" s="278">
        <f>1+1-1</f>
        <v>1</v>
      </c>
      <c r="R14" s="279"/>
      <c r="S14" s="277"/>
      <c r="T14" s="278"/>
      <c r="U14" s="268"/>
      <c r="V14" s="280">
        <v>44693</v>
      </c>
      <c r="W14" s="61"/>
      <c r="Y14" s="255" t="s">
        <v>767</v>
      </c>
      <c r="Z14" s="47" t="s">
        <v>687</v>
      </c>
      <c r="AA14" s="47" t="s">
        <v>687</v>
      </c>
    </row>
    <row r="15" spans="2:27" ht="19.5" customHeight="1">
      <c r="B15" s="339"/>
      <c r="C15" s="54" t="str">
        <f>B14</f>
        <v>フォーク</v>
      </c>
      <c r="D15" s="55">
        <v>44754</v>
      </c>
      <c r="E15" s="42" t="s">
        <v>684</v>
      </c>
      <c r="F15" s="263">
        <v>41</v>
      </c>
      <c r="G15" s="44">
        <f t="shared" si="2"/>
        <v>0</v>
      </c>
      <c r="H15" s="45"/>
      <c r="I15" s="265">
        <f t="shared" si="3"/>
        <v>41</v>
      </c>
      <c r="J15" s="266"/>
      <c r="K15" s="281">
        <f>1+2+16-16+1+3+1+1+1+1+2+1+1-1+1-1+1-2+1+1+1+1-1</f>
        <v>16</v>
      </c>
      <c r="L15" s="268">
        <f>16-6+1</f>
        <v>11</v>
      </c>
      <c r="M15" s="266"/>
      <c r="N15" s="281">
        <f>1-1+1+1</f>
        <v>2</v>
      </c>
      <c r="O15" s="268"/>
      <c r="P15" s="266"/>
      <c r="Q15" s="281">
        <f>2+3+2+2+1</f>
        <v>10</v>
      </c>
      <c r="R15" s="268"/>
      <c r="S15" s="266"/>
      <c r="T15" s="282">
        <f>1+1+2-2</f>
        <v>2</v>
      </c>
      <c r="U15" s="268"/>
      <c r="V15" s="269">
        <v>44735</v>
      </c>
      <c r="W15" s="50" t="s">
        <v>873</v>
      </c>
      <c r="Y15" s="264" t="s">
        <v>802</v>
      </c>
      <c r="Z15" s="52" t="s">
        <v>762</v>
      </c>
      <c r="AA15" s="52" t="s">
        <v>725</v>
      </c>
    </row>
    <row r="16" spans="2:27" ht="19.5" customHeight="1">
      <c r="B16" s="339"/>
      <c r="C16" s="54" t="str">
        <f>B14</f>
        <v>フォーク</v>
      </c>
      <c r="D16" s="41">
        <v>44826</v>
      </c>
      <c r="E16" s="202" t="s">
        <v>685</v>
      </c>
      <c r="F16" s="263">
        <v>20</v>
      </c>
      <c r="G16" s="44">
        <f t="shared" si="2"/>
        <v>6</v>
      </c>
      <c r="H16" s="45"/>
      <c r="I16" s="265">
        <f t="shared" si="3"/>
        <v>14</v>
      </c>
      <c r="J16" s="266"/>
      <c r="K16" s="281">
        <f>1-1+1+1+1+1-1+1</f>
        <v>4</v>
      </c>
      <c r="L16" s="268"/>
      <c r="M16" s="266"/>
      <c r="N16" s="281">
        <f>1+1</f>
        <v>2</v>
      </c>
      <c r="O16" s="268"/>
      <c r="P16" s="266"/>
      <c r="Q16" s="281">
        <f>2+1+1+1+1+1+1+1-2</f>
        <v>7</v>
      </c>
      <c r="R16" s="268"/>
      <c r="S16" s="266">
        <v>1</v>
      </c>
      <c r="T16" s="282"/>
      <c r="U16" s="268"/>
      <c r="V16" s="269">
        <v>44832</v>
      </c>
      <c r="W16" s="274" t="s">
        <v>901</v>
      </c>
      <c r="Y16" s="51"/>
      <c r="Z16" s="52" t="s">
        <v>769</v>
      </c>
      <c r="AA16" s="52" t="s">
        <v>770</v>
      </c>
    </row>
    <row r="17" spans="2:29" ht="19.5" customHeight="1">
      <c r="B17" s="339"/>
      <c r="C17" s="54" t="str">
        <f>B14</f>
        <v>フォーク</v>
      </c>
      <c r="D17" s="41">
        <v>44886</v>
      </c>
      <c r="E17" s="42" t="s">
        <v>684</v>
      </c>
      <c r="F17" s="43">
        <v>40</v>
      </c>
      <c r="G17" s="44">
        <f t="shared" si="2"/>
        <v>0</v>
      </c>
      <c r="H17" s="45"/>
      <c r="I17" s="265">
        <f t="shared" si="3"/>
        <v>40</v>
      </c>
      <c r="J17" s="266">
        <v>1</v>
      </c>
      <c r="K17" s="281">
        <f>1+1+1+1+1+1+1+2+1+1+1+1+1+2+3+1+1-1+2+1+1+1+1-1-1+1-1-1+1</f>
        <v>24</v>
      </c>
      <c r="L17" s="268"/>
      <c r="M17" s="266"/>
      <c r="N17" s="281">
        <f>1+2+1-1+1+1+1</f>
        <v>6</v>
      </c>
      <c r="O17" s="268"/>
      <c r="P17" s="266"/>
      <c r="Q17" s="281">
        <f>1+1+3+1+2</f>
        <v>8</v>
      </c>
      <c r="R17" s="268"/>
      <c r="S17" s="266"/>
      <c r="T17" s="282">
        <v>1</v>
      </c>
      <c r="U17" s="268"/>
      <c r="V17" s="269">
        <v>44874</v>
      </c>
      <c r="W17" s="50" t="s">
        <v>957</v>
      </c>
      <c r="Y17" s="84"/>
      <c r="Z17" s="52" t="s">
        <v>762</v>
      </c>
      <c r="AA17" s="52" t="s">
        <v>725</v>
      </c>
      <c r="AC17" s="250"/>
    </row>
    <row r="18" spans="2:29" ht="19.5" customHeight="1">
      <c r="B18" s="339"/>
      <c r="C18" s="54" t="str">
        <f>B14</f>
        <v>フォーク</v>
      </c>
      <c r="D18" s="63">
        <v>44999</v>
      </c>
      <c r="E18" s="42" t="s">
        <v>684</v>
      </c>
      <c r="F18" s="43">
        <v>40</v>
      </c>
      <c r="G18" s="44">
        <f t="shared" si="2"/>
        <v>0</v>
      </c>
      <c r="H18" s="45"/>
      <c r="I18" s="46">
        <f t="shared" si="3"/>
        <v>40</v>
      </c>
      <c r="J18" s="68">
        <v>1</v>
      </c>
      <c r="K18" s="65">
        <f>1+1+1+1+1+1+1+2+2+1+7+1-1+1+1+1+1+1+1-1-1-1</f>
        <v>22</v>
      </c>
      <c r="L18" s="70"/>
      <c r="M18" s="68"/>
      <c r="N18" s="65">
        <f>1+1+1+2+1+1+2+1</f>
        <v>10</v>
      </c>
      <c r="O18" s="70"/>
      <c r="P18" s="68"/>
      <c r="Q18" s="65">
        <f>1+1+1+1+1+1</f>
        <v>6</v>
      </c>
      <c r="R18" s="70"/>
      <c r="S18" s="68"/>
      <c r="T18" s="86">
        <v>1</v>
      </c>
      <c r="U18" s="70"/>
      <c r="V18" s="71">
        <v>44992</v>
      </c>
      <c r="W18" s="71" t="s">
        <v>1010</v>
      </c>
      <c r="Y18" s="87"/>
      <c r="Z18" s="52" t="s">
        <v>762</v>
      </c>
      <c r="AA18" s="52" t="s">
        <v>725</v>
      </c>
    </row>
    <row r="19" spans="2:29" hidden="1">
      <c r="B19" s="339"/>
      <c r="C19" s="54" t="str">
        <f>B14</f>
        <v>フォーク</v>
      </c>
      <c r="D19" s="63"/>
      <c r="E19" s="42"/>
      <c r="F19" s="43">
        <v>40</v>
      </c>
      <c r="G19" s="44">
        <f t="shared" si="2"/>
        <v>40</v>
      </c>
      <c r="H19" s="45"/>
      <c r="I19" s="46">
        <f t="shared" si="3"/>
        <v>0</v>
      </c>
      <c r="J19" s="68"/>
      <c r="K19" s="65"/>
      <c r="L19" s="70"/>
      <c r="M19" s="68"/>
      <c r="N19" s="65"/>
      <c r="O19" s="70"/>
      <c r="P19" s="68"/>
      <c r="Q19" s="65"/>
      <c r="R19" s="70"/>
      <c r="S19" s="68"/>
      <c r="T19" s="86"/>
      <c r="U19" s="70"/>
      <c r="V19" s="71"/>
      <c r="W19" s="71"/>
      <c r="Y19" s="87"/>
      <c r="Z19" s="62"/>
      <c r="AA19" s="53"/>
    </row>
    <row r="20" spans="2:29" hidden="1">
      <c r="B20" s="340"/>
      <c r="C20" s="88" t="str">
        <f>B14</f>
        <v>フォーク</v>
      </c>
      <c r="D20" s="89"/>
      <c r="E20" s="90"/>
      <c r="F20" s="65"/>
      <c r="G20" s="91">
        <f t="shared" si="2"/>
        <v>0</v>
      </c>
      <c r="H20" s="92"/>
      <c r="I20" s="93">
        <f t="shared" si="3"/>
        <v>0</v>
      </c>
      <c r="J20" s="94"/>
      <c r="K20" s="95"/>
      <c r="L20" s="96"/>
      <c r="M20" s="94"/>
      <c r="N20" s="95"/>
      <c r="O20" s="96"/>
      <c r="P20" s="94"/>
      <c r="Q20" s="95"/>
      <c r="R20" s="96"/>
      <c r="S20" s="94"/>
      <c r="T20" s="97"/>
      <c r="U20" s="96"/>
      <c r="V20" s="98"/>
      <c r="W20" s="98"/>
      <c r="Y20" s="72"/>
      <c r="Z20" s="62"/>
      <c r="AA20" s="53"/>
    </row>
    <row r="21" spans="2:29" ht="19" customHeight="1">
      <c r="B21" s="99"/>
      <c r="C21" s="100"/>
      <c r="D21" s="101"/>
      <c r="E21" s="102"/>
      <c r="F21" s="103"/>
      <c r="G21" s="104"/>
      <c r="H21" s="105"/>
      <c r="I21" s="106"/>
      <c r="J21" s="107" t="s">
        <v>15</v>
      </c>
      <c r="K21" s="108" t="s">
        <v>34</v>
      </c>
      <c r="L21" s="109"/>
      <c r="M21" s="107" t="s">
        <v>15</v>
      </c>
      <c r="N21" s="108" t="s">
        <v>34</v>
      </c>
      <c r="O21" s="109"/>
      <c r="P21" s="107" t="s">
        <v>15</v>
      </c>
      <c r="Q21" s="108" t="s">
        <v>34</v>
      </c>
      <c r="R21" s="109"/>
      <c r="S21" s="107" t="s">
        <v>15</v>
      </c>
      <c r="T21" s="108" t="s">
        <v>34</v>
      </c>
      <c r="U21" s="109"/>
      <c r="V21" s="110"/>
      <c r="W21" s="110"/>
      <c r="Y21" s="111"/>
      <c r="Z21" s="36" t="s">
        <v>17</v>
      </c>
      <c r="AA21" s="37" t="s">
        <v>18</v>
      </c>
    </row>
    <row r="22" spans="2:29" ht="19.5" customHeight="1">
      <c r="B22" s="339" t="s">
        <v>35</v>
      </c>
      <c r="C22" s="54" t="str">
        <f>B22</f>
        <v>小移動</v>
      </c>
      <c r="D22" s="55">
        <v>44697</v>
      </c>
      <c r="E22" s="42" t="s">
        <v>684</v>
      </c>
      <c r="F22" s="56">
        <v>20</v>
      </c>
      <c r="G22" s="83">
        <f>F22-I22</f>
        <v>6</v>
      </c>
      <c r="H22" s="45"/>
      <c r="I22" s="276">
        <f t="shared" si="3"/>
        <v>14</v>
      </c>
      <c r="J22" s="277">
        <f>1+1+1-1+1+1+1+1+1-1-1</f>
        <v>5</v>
      </c>
      <c r="K22" s="283">
        <f>1-1+1+2+1+1+1</f>
        <v>6</v>
      </c>
      <c r="L22" s="279"/>
      <c r="M22" s="277"/>
      <c r="N22" s="283">
        <v>2</v>
      </c>
      <c r="O22" s="279"/>
      <c r="P22" s="277"/>
      <c r="Q22" s="283">
        <v>1</v>
      </c>
      <c r="R22" s="279"/>
      <c r="S22" s="277"/>
      <c r="T22" s="283"/>
      <c r="U22" s="279"/>
      <c r="V22" s="280">
        <v>44693</v>
      </c>
      <c r="W22" s="61"/>
      <c r="Y22" s="51"/>
      <c r="Z22" s="52" t="s">
        <v>762</v>
      </c>
      <c r="AA22" s="52" t="s">
        <v>725</v>
      </c>
    </row>
    <row r="23" spans="2:29" ht="17.25" customHeight="1">
      <c r="B23" s="339"/>
      <c r="C23" s="54" t="str">
        <f>B22</f>
        <v>小移動</v>
      </c>
      <c r="D23" s="41">
        <v>44866</v>
      </c>
      <c r="E23" s="202" t="s">
        <v>685</v>
      </c>
      <c r="F23" s="204">
        <v>10</v>
      </c>
      <c r="G23" s="44">
        <f>F23-I23</f>
        <v>3</v>
      </c>
      <c r="H23" s="113"/>
      <c r="I23" s="276">
        <f t="shared" si="3"/>
        <v>7</v>
      </c>
      <c r="J23" s="266">
        <f>1-1</f>
        <v>0</v>
      </c>
      <c r="K23" s="267">
        <f>1+1</f>
        <v>2</v>
      </c>
      <c r="L23" s="284"/>
      <c r="M23" s="266">
        <f>1+1</f>
        <v>2</v>
      </c>
      <c r="N23" s="267">
        <v>1</v>
      </c>
      <c r="O23" s="268"/>
      <c r="P23" s="266"/>
      <c r="Q23" s="267">
        <f>2-2+1</f>
        <v>1</v>
      </c>
      <c r="R23" s="268"/>
      <c r="S23" s="266"/>
      <c r="T23" s="267">
        <f>1+1-1</f>
        <v>1</v>
      </c>
      <c r="U23" s="268"/>
      <c r="V23" s="269">
        <v>44855</v>
      </c>
      <c r="W23" s="50"/>
      <c r="Y23" s="51"/>
      <c r="Z23" s="52" t="s">
        <v>769</v>
      </c>
      <c r="AA23" s="52" t="s">
        <v>726</v>
      </c>
    </row>
    <row r="24" spans="2:29" ht="19.5" hidden="1" customHeight="1">
      <c r="B24" s="339"/>
      <c r="C24" s="54" t="str">
        <f>B22</f>
        <v>小移動</v>
      </c>
      <c r="D24" s="63"/>
      <c r="E24" s="42"/>
      <c r="F24" s="56"/>
      <c r="G24" s="44">
        <f>F24-I24</f>
        <v>0</v>
      </c>
      <c r="H24" s="113"/>
      <c r="I24" s="57"/>
      <c r="J24" s="68"/>
      <c r="K24" s="65"/>
      <c r="L24" s="70"/>
      <c r="M24" s="68"/>
      <c r="N24" s="69"/>
      <c r="O24" s="70"/>
      <c r="P24" s="68"/>
      <c r="Q24" s="69"/>
      <c r="R24" s="70"/>
      <c r="S24" s="68"/>
      <c r="T24" s="69"/>
      <c r="U24" s="70"/>
      <c r="V24" s="71"/>
      <c r="W24" s="71"/>
      <c r="Y24" s="115"/>
      <c r="Z24" s="62"/>
      <c r="AA24" s="53"/>
    </row>
    <row r="25" spans="2:29" ht="19.5" hidden="1" customHeight="1">
      <c r="B25" s="340"/>
      <c r="C25" s="88" t="str">
        <f>B22</f>
        <v>小移動</v>
      </c>
      <c r="D25" s="89"/>
      <c r="E25" s="90"/>
      <c r="F25" s="95"/>
      <c r="G25" s="91">
        <f>F25-I25</f>
        <v>0</v>
      </c>
      <c r="H25" s="116"/>
      <c r="I25" s="57"/>
      <c r="J25" s="94"/>
      <c r="K25" s="117"/>
      <c r="L25" s="96"/>
      <c r="M25" s="94"/>
      <c r="N25" s="117"/>
      <c r="O25" s="96"/>
      <c r="P25" s="94"/>
      <c r="Q25" s="117"/>
      <c r="R25" s="96"/>
      <c r="S25" s="94"/>
      <c r="T25" s="117"/>
      <c r="U25" s="96"/>
      <c r="V25" s="98"/>
      <c r="W25" s="98"/>
      <c r="Y25" s="46"/>
      <c r="Z25" s="118"/>
      <c r="AA25" s="119"/>
    </row>
    <row r="26" spans="2:29" ht="19.5" customHeight="1">
      <c r="B26" s="120"/>
      <c r="C26" s="121"/>
      <c r="D26" s="122"/>
      <c r="E26" s="102"/>
      <c r="F26" s="123"/>
      <c r="G26" s="124" t="s">
        <v>37</v>
      </c>
      <c r="H26" s="12"/>
      <c r="I26" s="125" t="s">
        <v>6</v>
      </c>
      <c r="J26" s="341" t="s">
        <v>7</v>
      </c>
      <c r="K26" s="342"/>
      <c r="L26" s="343"/>
      <c r="M26" s="341" t="s">
        <v>8</v>
      </c>
      <c r="N26" s="342"/>
      <c r="O26" s="344"/>
      <c r="P26" s="341" t="s">
        <v>9</v>
      </c>
      <c r="Q26" s="342"/>
      <c r="R26" s="343"/>
      <c r="S26" s="341" t="s">
        <v>10</v>
      </c>
      <c r="T26" s="342"/>
      <c r="U26" s="343"/>
      <c r="V26" s="14" t="s">
        <v>11</v>
      </c>
      <c r="W26" s="14"/>
      <c r="Y26" s="126"/>
      <c r="Z26" s="127"/>
      <c r="AA26" s="128"/>
    </row>
    <row r="27" spans="2:29" ht="19.5" customHeight="1">
      <c r="B27" s="28"/>
      <c r="C27" s="29"/>
      <c r="D27" s="75"/>
      <c r="E27" s="31"/>
      <c r="F27" s="32"/>
      <c r="G27" s="129"/>
      <c r="H27" s="12"/>
      <c r="I27" s="35"/>
      <c r="J27" s="36" t="s">
        <v>38</v>
      </c>
      <c r="K27" s="31" t="s">
        <v>39</v>
      </c>
      <c r="L27" s="37" t="s">
        <v>40</v>
      </c>
      <c r="M27" s="36" t="s">
        <v>38</v>
      </c>
      <c r="N27" s="31" t="s">
        <v>39</v>
      </c>
      <c r="O27" s="37" t="s">
        <v>40</v>
      </c>
      <c r="P27" s="36" t="s">
        <v>38</v>
      </c>
      <c r="Q27" s="31" t="s">
        <v>39</v>
      </c>
      <c r="R27" s="37" t="s">
        <v>40</v>
      </c>
      <c r="S27" s="36" t="s">
        <v>38</v>
      </c>
      <c r="T27" s="31" t="s">
        <v>39</v>
      </c>
      <c r="U27" s="37" t="s">
        <v>40</v>
      </c>
      <c r="V27" s="35"/>
      <c r="W27" s="35"/>
      <c r="Y27" s="111"/>
      <c r="Z27" s="36" t="s">
        <v>17</v>
      </c>
      <c r="AA27" s="37" t="s">
        <v>18</v>
      </c>
    </row>
    <row r="28" spans="2:29" ht="19.5" customHeight="1">
      <c r="B28" s="339" t="s">
        <v>41</v>
      </c>
      <c r="C28" s="54" t="str">
        <f>B28</f>
        <v>高所</v>
      </c>
      <c r="D28" s="55">
        <v>44719</v>
      </c>
      <c r="E28" s="42" t="s">
        <v>684</v>
      </c>
      <c r="F28" s="204">
        <v>10</v>
      </c>
      <c r="G28" s="83">
        <f t="shared" ref="G28:G50" si="4">F28-I28</f>
        <v>5</v>
      </c>
      <c r="H28" s="45"/>
      <c r="I28" s="276">
        <f t="shared" ref="I28:I37" si="5">SUM(J28:U28)</f>
        <v>5</v>
      </c>
      <c r="J28" s="277">
        <v>1</v>
      </c>
      <c r="K28" s="283">
        <f>1+1+1-1-1</f>
        <v>1</v>
      </c>
      <c r="L28" s="279"/>
      <c r="M28" s="277"/>
      <c r="N28" s="283">
        <f>2+1</f>
        <v>3</v>
      </c>
      <c r="O28" s="279"/>
      <c r="P28" s="277"/>
      <c r="Q28" s="283"/>
      <c r="R28" s="279"/>
      <c r="S28" s="277"/>
      <c r="T28" s="283"/>
      <c r="U28" s="279"/>
      <c r="V28" s="280">
        <v>44704</v>
      </c>
      <c r="W28" s="61"/>
      <c r="Y28" s="51"/>
      <c r="Z28" s="52" t="s">
        <v>762</v>
      </c>
      <c r="AA28" s="53" t="s">
        <v>688</v>
      </c>
    </row>
    <row r="29" spans="2:29" ht="19.5" customHeight="1">
      <c r="B29" s="339"/>
      <c r="C29" s="54" t="str">
        <f>B28</f>
        <v>高所</v>
      </c>
      <c r="D29" s="55">
        <v>44858</v>
      </c>
      <c r="E29" s="42" t="s">
        <v>684</v>
      </c>
      <c r="F29" s="204">
        <v>10</v>
      </c>
      <c r="G29" s="83">
        <f t="shared" si="4"/>
        <v>4</v>
      </c>
      <c r="H29" s="45"/>
      <c r="I29" s="276">
        <f t="shared" si="5"/>
        <v>6</v>
      </c>
      <c r="J29" s="266"/>
      <c r="K29" s="267">
        <f>1+3+1-3-1</f>
        <v>1</v>
      </c>
      <c r="L29" s="285"/>
      <c r="M29" s="266">
        <f>1-1</f>
        <v>0</v>
      </c>
      <c r="N29" s="267">
        <f>1+3-1</f>
        <v>3</v>
      </c>
      <c r="O29" s="285"/>
      <c r="P29" s="266"/>
      <c r="Q29" s="267"/>
      <c r="R29" s="285"/>
      <c r="S29" s="266"/>
      <c r="T29" s="267">
        <f>1+1</f>
        <v>2</v>
      </c>
      <c r="U29" s="285"/>
      <c r="V29" s="269">
        <v>44840</v>
      </c>
      <c r="W29" s="50"/>
      <c r="Y29" s="51"/>
      <c r="Z29" s="154" t="s">
        <v>764</v>
      </c>
      <c r="AA29" s="53" t="s">
        <v>688</v>
      </c>
    </row>
    <row r="30" spans="2:29" ht="19.5" hidden="1" customHeight="1">
      <c r="B30" s="340"/>
      <c r="C30" s="88" t="str">
        <f>B28</f>
        <v>高所</v>
      </c>
      <c r="D30" s="131"/>
      <c r="E30" s="132"/>
      <c r="F30" s="133"/>
      <c r="G30" s="134">
        <f t="shared" si="4"/>
        <v>0</v>
      </c>
      <c r="H30" s="45"/>
      <c r="I30" s="286"/>
      <c r="J30" s="287"/>
      <c r="K30" s="288"/>
      <c r="L30" s="289"/>
      <c r="M30" s="287"/>
      <c r="N30" s="288"/>
      <c r="O30" s="289"/>
      <c r="P30" s="287"/>
      <c r="Q30" s="288"/>
      <c r="R30" s="289"/>
      <c r="S30" s="287"/>
      <c r="T30" s="288"/>
      <c r="U30" s="289"/>
      <c r="V30" s="290"/>
      <c r="W30" s="98"/>
      <c r="Y30" s="72"/>
      <c r="Z30" s="258"/>
      <c r="AA30" s="73"/>
    </row>
    <row r="31" spans="2:29" ht="19.5" customHeight="1">
      <c r="B31" s="366" t="s">
        <v>42</v>
      </c>
      <c r="C31" s="138" t="s">
        <v>43</v>
      </c>
      <c r="D31" s="139">
        <v>44674</v>
      </c>
      <c r="E31" s="256" t="s">
        <v>685</v>
      </c>
      <c r="F31" s="141">
        <v>30</v>
      </c>
      <c r="G31" s="142">
        <f t="shared" si="4"/>
        <v>8</v>
      </c>
      <c r="H31" s="45"/>
      <c r="I31" s="270">
        <f t="shared" si="5"/>
        <v>22</v>
      </c>
      <c r="J31" s="405">
        <f>1+4+1+2</f>
        <v>8</v>
      </c>
      <c r="K31" s="406"/>
      <c r="L31" s="407"/>
      <c r="M31" s="405">
        <v>1</v>
      </c>
      <c r="N31" s="406"/>
      <c r="O31" s="408"/>
      <c r="P31" s="405">
        <f>2+1+1+2+1+1+3+2</f>
        <v>13</v>
      </c>
      <c r="Q31" s="406"/>
      <c r="R31" s="407"/>
      <c r="S31" s="405"/>
      <c r="T31" s="406"/>
      <c r="U31" s="407"/>
      <c r="V31" s="271">
        <v>44663</v>
      </c>
      <c r="W31" s="144"/>
      <c r="X31" s="144"/>
      <c r="Y31" s="145"/>
      <c r="Z31" s="52" t="s">
        <v>769</v>
      </c>
      <c r="AA31" s="147" t="s">
        <v>727</v>
      </c>
    </row>
    <row r="32" spans="2:29" ht="19.5" customHeight="1">
      <c r="B32" s="339"/>
      <c r="C32" s="148" t="s">
        <v>45</v>
      </c>
      <c r="D32" s="41">
        <v>44715</v>
      </c>
      <c r="E32" s="42" t="s">
        <v>684</v>
      </c>
      <c r="F32" s="56">
        <v>40</v>
      </c>
      <c r="G32" s="83">
        <f t="shared" si="4"/>
        <v>15</v>
      </c>
      <c r="H32" s="45"/>
      <c r="I32" s="276">
        <f t="shared" si="5"/>
        <v>25</v>
      </c>
      <c r="J32" s="392">
        <f>1-1+1+1+1+2+1+2-1+2+1+1+1+1</f>
        <v>13</v>
      </c>
      <c r="K32" s="393"/>
      <c r="L32" s="394"/>
      <c r="M32" s="392">
        <v>1</v>
      </c>
      <c r="N32" s="393"/>
      <c r="O32" s="394"/>
      <c r="P32" s="392">
        <f>3+1+1+1+1+1+1+3+1+2-3-1</f>
        <v>11</v>
      </c>
      <c r="Q32" s="393"/>
      <c r="R32" s="394"/>
      <c r="S32" s="392"/>
      <c r="T32" s="393"/>
      <c r="U32" s="394"/>
      <c r="V32" s="269">
        <v>44712</v>
      </c>
      <c r="W32" s="50"/>
      <c r="Y32" s="51"/>
      <c r="Z32" s="52" t="s">
        <v>762</v>
      </c>
      <c r="AA32" s="149" t="s">
        <v>728</v>
      </c>
    </row>
    <row r="33" spans="1:27" ht="19.5" customHeight="1">
      <c r="B33" s="339"/>
      <c r="C33" s="148" t="s">
        <v>45</v>
      </c>
      <c r="D33" s="41">
        <v>44821</v>
      </c>
      <c r="E33" s="202" t="s">
        <v>685</v>
      </c>
      <c r="F33" s="56">
        <v>30</v>
      </c>
      <c r="G33" s="83">
        <f t="shared" si="4"/>
        <v>9</v>
      </c>
      <c r="H33" s="45"/>
      <c r="I33" s="276">
        <f t="shared" si="5"/>
        <v>21</v>
      </c>
      <c r="J33" s="392">
        <f>2+3+1+1-1+1</f>
        <v>7</v>
      </c>
      <c r="K33" s="393"/>
      <c r="L33" s="394"/>
      <c r="M33" s="392">
        <f>1+1+2-1+1</f>
        <v>4</v>
      </c>
      <c r="N33" s="393"/>
      <c r="O33" s="394"/>
      <c r="P33" s="392">
        <f>1+1+3+1+1+1+2-1+1</f>
        <v>10</v>
      </c>
      <c r="Q33" s="393"/>
      <c r="R33" s="394"/>
      <c r="S33" s="392"/>
      <c r="T33" s="393"/>
      <c r="U33" s="394"/>
      <c r="V33" s="269">
        <v>44826</v>
      </c>
      <c r="W33" s="50"/>
      <c r="Y33" s="51"/>
      <c r="Z33" s="52" t="s">
        <v>769</v>
      </c>
      <c r="AA33" s="150" t="s">
        <v>727</v>
      </c>
    </row>
    <row r="34" spans="1:27" ht="19.5" customHeight="1">
      <c r="B34" s="339"/>
      <c r="C34" s="148" t="s">
        <v>45</v>
      </c>
      <c r="D34" s="63">
        <v>44883</v>
      </c>
      <c r="E34" s="42" t="s">
        <v>684</v>
      </c>
      <c r="F34" s="56">
        <v>40</v>
      </c>
      <c r="G34" s="83">
        <f t="shared" si="4"/>
        <v>16</v>
      </c>
      <c r="H34" s="45"/>
      <c r="I34" s="276">
        <f t="shared" si="5"/>
        <v>24</v>
      </c>
      <c r="J34" s="409">
        <f>1-1+1+3+1+1+1+1+3-1+2+1-2+1+1+1+2-1+3+1</f>
        <v>19</v>
      </c>
      <c r="K34" s="410"/>
      <c r="L34" s="394"/>
      <c r="M34" s="392">
        <v>2</v>
      </c>
      <c r="N34" s="393"/>
      <c r="O34" s="411"/>
      <c r="P34" s="412">
        <f>1+1+2-1</f>
        <v>3</v>
      </c>
      <c r="Q34" s="413"/>
      <c r="R34" s="414"/>
      <c r="S34" s="292"/>
      <c r="T34" s="293"/>
      <c r="U34" s="294"/>
      <c r="V34" s="295">
        <v>44879</v>
      </c>
      <c r="W34" s="71"/>
      <c r="Y34" s="115"/>
      <c r="Z34" s="52" t="s">
        <v>762</v>
      </c>
      <c r="AA34" s="149" t="s">
        <v>728</v>
      </c>
    </row>
    <row r="35" spans="1:27" ht="19.5" customHeight="1">
      <c r="B35" s="340"/>
      <c r="C35" s="152" t="s">
        <v>45</v>
      </c>
      <c r="D35" s="89">
        <v>44968</v>
      </c>
      <c r="E35" s="257" t="s">
        <v>685</v>
      </c>
      <c r="F35" s="133">
        <v>30</v>
      </c>
      <c r="G35" s="134">
        <f t="shared" si="4"/>
        <v>14</v>
      </c>
      <c r="H35" s="92"/>
      <c r="I35" s="286">
        <f t="shared" si="5"/>
        <v>16</v>
      </c>
      <c r="J35" s="395">
        <f>1+3-3+1+1+1+1</f>
        <v>5</v>
      </c>
      <c r="K35" s="396"/>
      <c r="L35" s="397"/>
      <c r="M35" s="395"/>
      <c r="N35" s="396"/>
      <c r="O35" s="397"/>
      <c r="P35" s="395">
        <f>1+1+1+2+6</f>
        <v>11</v>
      </c>
      <c r="Q35" s="396"/>
      <c r="R35" s="397"/>
      <c r="S35" s="395"/>
      <c r="T35" s="396"/>
      <c r="U35" s="397"/>
      <c r="V35" s="290">
        <v>44956</v>
      </c>
      <c r="W35" s="98"/>
      <c r="X35" s="153"/>
      <c r="Y35" s="72"/>
      <c r="Z35" s="154" t="s">
        <v>769</v>
      </c>
      <c r="AA35" s="155" t="s">
        <v>727</v>
      </c>
    </row>
    <row r="36" spans="1:27" ht="19.5" customHeight="1">
      <c r="B36" s="349" t="s">
        <v>47</v>
      </c>
      <c r="C36" s="54" t="str">
        <f>B36</f>
        <v>ガス溶接</v>
      </c>
      <c r="D36" s="55">
        <v>44764</v>
      </c>
      <c r="E36" s="112" t="s">
        <v>684</v>
      </c>
      <c r="F36" s="56">
        <v>30</v>
      </c>
      <c r="G36" s="83">
        <f t="shared" si="4"/>
        <v>8</v>
      </c>
      <c r="H36" s="45"/>
      <c r="I36" s="276">
        <f t="shared" si="5"/>
        <v>22</v>
      </c>
      <c r="J36" s="398">
        <f>1+1-1+1+2+1+1+2+1+1+1+1+1+1+1-1</f>
        <v>14</v>
      </c>
      <c r="K36" s="399"/>
      <c r="L36" s="400"/>
      <c r="M36" s="398">
        <f>1+1+1-1</f>
        <v>2</v>
      </c>
      <c r="N36" s="399"/>
      <c r="O36" s="401"/>
      <c r="P36" s="398">
        <f>1+1+1+1+2+1-1</f>
        <v>6</v>
      </c>
      <c r="Q36" s="399"/>
      <c r="R36" s="400"/>
      <c r="S36" s="398"/>
      <c r="T36" s="399"/>
      <c r="U36" s="400"/>
      <c r="V36" s="280">
        <v>44763</v>
      </c>
      <c r="W36" s="61"/>
      <c r="Y36" s="156"/>
      <c r="Z36" s="157" t="s">
        <v>762</v>
      </c>
      <c r="AA36" s="158" t="s">
        <v>765</v>
      </c>
    </row>
    <row r="37" spans="1:27" ht="19.5" customHeight="1">
      <c r="B37" s="340"/>
      <c r="C37" s="88" t="str">
        <f>B36</f>
        <v>ガス溶接</v>
      </c>
      <c r="D37" s="89">
        <v>44887</v>
      </c>
      <c r="E37" s="42" t="s">
        <v>684</v>
      </c>
      <c r="F37" s="95">
        <v>45</v>
      </c>
      <c r="G37" s="66">
        <f t="shared" si="4"/>
        <v>19</v>
      </c>
      <c r="H37" s="45"/>
      <c r="I37" s="296">
        <f t="shared" si="5"/>
        <v>26</v>
      </c>
      <c r="J37" s="402">
        <f>8+1+1+2+1+1+1+1+1+1+1+1+1-1+2-2+1+1+1+1-1+1+1-1-1-1-2</f>
        <v>20</v>
      </c>
      <c r="K37" s="403"/>
      <c r="L37" s="404"/>
      <c r="M37" s="402">
        <f>1+1+1</f>
        <v>3</v>
      </c>
      <c r="N37" s="403"/>
      <c r="O37" s="416"/>
      <c r="P37" s="402">
        <f>1+1+1+1+1-1-1</f>
        <v>3</v>
      </c>
      <c r="Q37" s="403"/>
      <c r="R37" s="404"/>
      <c r="S37" s="402"/>
      <c r="T37" s="403"/>
      <c r="U37" s="404"/>
      <c r="V37" s="295">
        <v>44889</v>
      </c>
      <c r="W37" s="71"/>
      <c r="Y37" s="72"/>
      <c r="Z37" s="62" t="s">
        <v>762</v>
      </c>
      <c r="AA37" s="53" t="s">
        <v>765</v>
      </c>
    </row>
    <row r="38" spans="1:27" ht="19.5" customHeight="1">
      <c r="B38" s="160"/>
      <c r="C38" s="7"/>
      <c r="D38" s="161"/>
      <c r="E38" s="102"/>
      <c r="F38" s="123"/>
      <c r="G38" s="124" t="s">
        <v>5</v>
      </c>
      <c r="H38" s="162"/>
      <c r="I38" s="125" t="s">
        <v>6</v>
      </c>
      <c r="J38" s="341" t="s">
        <v>7</v>
      </c>
      <c r="K38" s="342"/>
      <c r="L38" s="343"/>
      <c r="M38" s="341" t="s">
        <v>8</v>
      </c>
      <c r="N38" s="342"/>
      <c r="O38" s="344"/>
      <c r="P38" s="341" t="s">
        <v>9</v>
      </c>
      <c r="Q38" s="342"/>
      <c r="R38" s="343"/>
      <c r="S38" s="341" t="s">
        <v>10</v>
      </c>
      <c r="T38" s="342"/>
      <c r="U38" s="343"/>
      <c r="V38" s="163" t="s">
        <v>11</v>
      </c>
      <c r="W38" s="163"/>
      <c r="X38" s="153"/>
      <c r="Y38" s="164" t="s">
        <v>13</v>
      </c>
      <c r="Z38" s="165"/>
      <c r="AA38" s="165"/>
    </row>
    <row r="39" spans="1:27" ht="19.5" customHeight="1">
      <c r="B39" s="349" t="s">
        <v>49</v>
      </c>
      <c r="C39" s="54" t="str">
        <f>B39</f>
        <v>ﾌﾙ･ﾊｰﾈｽ</v>
      </c>
      <c r="D39" s="139">
        <v>44676</v>
      </c>
      <c r="E39" s="112" t="s">
        <v>684</v>
      </c>
      <c r="F39" s="249">
        <f>40+10+10</f>
        <v>60</v>
      </c>
      <c r="G39" s="83">
        <f t="shared" ref="G39:G48" si="6">F39-I39</f>
        <v>0</v>
      </c>
      <c r="H39" s="3"/>
      <c r="I39" s="272">
        <f t="shared" ref="I39:I50" si="7">SUM(J39:U39)</f>
        <v>60</v>
      </c>
      <c r="J39" s="419">
        <f>1+1+3+3+1+3+2+1+2+3+2+1+1+1+10+1+4+2</f>
        <v>42</v>
      </c>
      <c r="K39" s="419"/>
      <c r="L39" s="419"/>
      <c r="M39" s="419">
        <f>2+3+1</f>
        <v>6</v>
      </c>
      <c r="N39" s="419"/>
      <c r="O39" s="420"/>
      <c r="P39" s="419">
        <f>6+2+1+2+1</f>
        <v>12</v>
      </c>
      <c r="Q39" s="419"/>
      <c r="R39" s="419"/>
      <c r="S39" s="419"/>
      <c r="T39" s="419"/>
      <c r="U39" s="419"/>
      <c r="V39" s="273">
        <v>44670</v>
      </c>
      <c r="W39" s="167"/>
      <c r="Y39" s="156"/>
      <c r="Z39" s="168" t="s">
        <v>764</v>
      </c>
      <c r="AA39" s="259"/>
    </row>
    <row r="40" spans="1:27" ht="19.5" customHeight="1">
      <c r="B40" s="339"/>
      <c r="C40" s="54" t="str">
        <f>B39</f>
        <v>ﾌﾙ･ﾊｰﾈｽ</v>
      </c>
      <c r="D40" s="55">
        <v>44697</v>
      </c>
      <c r="E40" s="202" t="s">
        <v>685</v>
      </c>
      <c r="F40" s="166">
        <v>40</v>
      </c>
      <c r="G40" s="83">
        <f t="shared" si="6"/>
        <v>26</v>
      </c>
      <c r="H40" s="3"/>
      <c r="I40" s="291">
        <f t="shared" si="7"/>
        <v>14</v>
      </c>
      <c r="J40" s="392">
        <f>1+1+3-1+1-1</f>
        <v>4</v>
      </c>
      <c r="K40" s="393"/>
      <c r="L40" s="411"/>
      <c r="M40" s="392">
        <v>4</v>
      </c>
      <c r="N40" s="393"/>
      <c r="O40" s="411"/>
      <c r="P40" s="392">
        <f>1+3+1+1+1+1-2</f>
        <v>6</v>
      </c>
      <c r="Q40" s="393"/>
      <c r="R40" s="411"/>
      <c r="S40" s="392"/>
      <c r="T40" s="393"/>
      <c r="U40" s="411"/>
      <c r="V40" s="273">
        <v>44692</v>
      </c>
      <c r="W40" s="167"/>
      <c r="Y40" s="156"/>
      <c r="Z40" s="52" t="s">
        <v>769</v>
      </c>
      <c r="AA40" s="260"/>
    </row>
    <row r="41" spans="1:27" ht="18" customHeight="1">
      <c r="B41" s="339"/>
      <c r="C41" s="54" t="str">
        <f>B39</f>
        <v>ﾌﾙ･ﾊｰﾈｽ</v>
      </c>
      <c r="D41" s="251">
        <v>44729</v>
      </c>
      <c r="E41" s="42" t="s">
        <v>684</v>
      </c>
      <c r="F41" s="254">
        <v>50</v>
      </c>
      <c r="G41" s="83">
        <f t="shared" si="6"/>
        <v>3</v>
      </c>
      <c r="H41" s="3"/>
      <c r="I41" s="291">
        <f t="shared" si="7"/>
        <v>47</v>
      </c>
      <c r="J41" s="415">
        <f>1+3+2+2+26+2+3-3+5+1+1-3</f>
        <v>40</v>
      </c>
      <c r="K41" s="415"/>
      <c r="L41" s="415"/>
      <c r="M41" s="415">
        <f>2+2</f>
        <v>4</v>
      </c>
      <c r="N41" s="415"/>
      <c r="O41" s="417"/>
      <c r="P41" s="415">
        <f>1+1+1</f>
        <v>3</v>
      </c>
      <c r="Q41" s="415"/>
      <c r="R41" s="415"/>
      <c r="S41" s="415"/>
      <c r="T41" s="415"/>
      <c r="U41" s="415"/>
      <c r="V41" s="297">
        <v>44729</v>
      </c>
      <c r="W41" s="170" t="s">
        <v>844</v>
      </c>
      <c r="Y41" s="51"/>
      <c r="Z41" s="52" t="s">
        <v>762</v>
      </c>
      <c r="AA41" s="261"/>
    </row>
    <row r="42" spans="1:27" ht="19.5" customHeight="1">
      <c r="B42" s="339"/>
      <c r="C42" s="54" t="str">
        <f t="shared" ref="C42" si="8">B39</f>
        <v>ﾌﾙ･ﾊｰﾈｽ</v>
      </c>
      <c r="D42" s="41">
        <v>44751</v>
      </c>
      <c r="E42" s="202" t="s">
        <v>685</v>
      </c>
      <c r="F42" s="169">
        <v>40</v>
      </c>
      <c r="G42" s="83">
        <f t="shared" si="6"/>
        <v>19</v>
      </c>
      <c r="H42" s="3"/>
      <c r="I42" s="291">
        <f t="shared" si="7"/>
        <v>21</v>
      </c>
      <c r="J42" s="415">
        <f>3+2-1+1-3+1+2+1-1</f>
        <v>5</v>
      </c>
      <c r="K42" s="415"/>
      <c r="L42" s="415"/>
      <c r="M42" s="415">
        <f>3+2+4-2+2</f>
        <v>9</v>
      </c>
      <c r="N42" s="415"/>
      <c r="O42" s="417"/>
      <c r="P42" s="415">
        <f>2+2+3</f>
        <v>7</v>
      </c>
      <c r="Q42" s="415"/>
      <c r="R42" s="415"/>
      <c r="S42" s="415"/>
      <c r="T42" s="415"/>
      <c r="U42" s="415"/>
      <c r="V42" s="297">
        <v>44750</v>
      </c>
      <c r="W42" s="170"/>
      <c r="Y42" s="51"/>
      <c r="Z42" s="52" t="s">
        <v>769</v>
      </c>
      <c r="AA42" s="261"/>
    </row>
    <row r="43" spans="1:27" ht="18" customHeight="1">
      <c r="B43" s="339"/>
      <c r="C43" s="54" t="str">
        <f>B39</f>
        <v>ﾌﾙ･ﾊｰﾈｽ</v>
      </c>
      <c r="D43" s="251">
        <v>44792</v>
      </c>
      <c r="E43" s="42" t="s">
        <v>684</v>
      </c>
      <c r="F43" s="254">
        <v>33</v>
      </c>
      <c r="G43" s="83">
        <f t="shared" ref="G43" si="9">F43-I43</f>
        <v>2</v>
      </c>
      <c r="H43" s="3"/>
      <c r="I43" s="291">
        <f t="shared" ref="I43" si="10">SUM(J43:U43)</f>
        <v>31</v>
      </c>
      <c r="J43" s="415">
        <f>1+5+1+1+1+2+4+1+1+5+5-1+2+2+1-2+2-2</f>
        <v>29</v>
      </c>
      <c r="K43" s="415"/>
      <c r="L43" s="415"/>
      <c r="M43" s="415"/>
      <c r="N43" s="415"/>
      <c r="O43" s="417"/>
      <c r="P43" s="415">
        <f>1+1</f>
        <v>2</v>
      </c>
      <c r="Q43" s="415"/>
      <c r="R43" s="415"/>
      <c r="S43" s="415"/>
      <c r="T43" s="415"/>
      <c r="U43" s="415"/>
      <c r="V43" s="297">
        <v>44795</v>
      </c>
      <c r="W43" s="170"/>
      <c r="Y43" s="51"/>
      <c r="Z43" s="52" t="s">
        <v>762</v>
      </c>
      <c r="AA43" s="261"/>
    </row>
    <row r="44" spans="1:27" ht="19.5" customHeight="1">
      <c r="A44" s="2" t="s">
        <v>51</v>
      </c>
      <c r="B44" s="339"/>
      <c r="C44" s="54" t="str">
        <f>B39</f>
        <v>ﾌﾙ･ﾊｰﾈｽ</v>
      </c>
      <c r="D44" s="41">
        <v>44845</v>
      </c>
      <c r="E44" s="42" t="s">
        <v>684</v>
      </c>
      <c r="F44" s="56">
        <v>40</v>
      </c>
      <c r="G44" s="83">
        <f t="shared" si="6"/>
        <v>19</v>
      </c>
      <c r="H44" s="3"/>
      <c r="I44" s="291">
        <f t="shared" si="7"/>
        <v>21</v>
      </c>
      <c r="J44" s="415">
        <f>3+1-1+1+1+3</f>
        <v>8</v>
      </c>
      <c r="K44" s="415"/>
      <c r="L44" s="415"/>
      <c r="M44" s="415">
        <f>2+2</f>
        <v>4</v>
      </c>
      <c r="N44" s="415"/>
      <c r="O44" s="417"/>
      <c r="P44" s="415">
        <f>1+3+5</f>
        <v>9</v>
      </c>
      <c r="Q44" s="415"/>
      <c r="R44" s="415"/>
      <c r="S44" s="415"/>
      <c r="T44" s="415"/>
      <c r="U44" s="415"/>
      <c r="V44" s="297">
        <v>44839</v>
      </c>
      <c r="W44" s="170"/>
      <c r="Y44" s="51"/>
      <c r="Z44" s="52" t="s">
        <v>762</v>
      </c>
      <c r="AA44" s="261"/>
    </row>
    <row r="45" spans="1:27">
      <c r="B45" s="339"/>
      <c r="C45" s="54" t="str">
        <f>B39</f>
        <v>ﾌﾙ･ﾊｰﾈｽ</v>
      </c>
      <c r="D45" s="41">
        <v>44972</v>
      </c>
      <c r="E45" s="202" t="s">
        <v>685</v>
      </c>
      <c r="F45" s="169">
        <v>40</v>
      </c>
      <c r="G45" s="83">
        <f t="shared" si="6"/>
        <v>35</v>
      </c>
      <c r="H45" s="3"/>
      <c r="I45" s="51">
        <f t="shared" si="7"/>
        <v>5</v>
      </c>
      <c r="J45" s="376">
        <f>2+1</f>
        <v>3</v>
      </c>
      <c r="K45" s="376"/>
      <c r="L45" s="376"/>
      <c r="M45" s="376">
        <f>1+1</f>
        <v>2</v>
      </c>
      <c r="N45" s="376"/>
      <c r="O45" s="377"/>
      <c r="P45" s="376"/>
      <c r="Q45" s="376"/>
      <c r="R45" s="376"/>
      <c r="S45" s="376"/>
      <c r="T45" s="376"/>
      <c r="U45" s="376"/>
      <c r="V45" s="170">
        <v>44953</v>
      </c>
      <c r="W45" s="170"/>
      <c r="Y45" s="51"/>
      <c r="Z45" s="62" t="s">
        <v>769</v>
      </c>
      <c r="AA45" s="261"/>
    </row>
    <row r="46" spans="1:27">
      <c r="B46" s="366" t="s">
        <v>52</v>
      </c>
      <c r="C46" s="17" t="s">
        <v>53</v>
      </c>
      <c r="D46" s="139">
        <v>44708</v>
      </c>
      <c r="E46" s="140" t="s">
        <v>684</v>
      </c>
      <c r="F46" s="141">
        <v>40</v>
      </c>
      <c r="G46" s="142">
        <f t="shared" si="6"/>
        <v>23</v>
      </c>
      <c r="H46" s="3"/>
      <c r="I46" s="270">
        <f t="shared" si="7"/>
        <v>17</v>
      </c>
      <c r="J46" s="405">
        <f>1+1+1+1-1+1+1+1+1+1+1+1+1</f>
        <v>11</v>
      </c>
      <c r="K46" s="406"/>
      <c r="L46" s="407"/>
      <c r="M46" s="405">
        <f>1+1+1</f>
        <v>3</v>
      </c>
      <c r="N46" s="406"/>
      <c r="O46" s="408"/>
      <c r="P46" s="405">
        <f>1+2</f>
        <v>3</v>
      </c>
      <c r="Q46" s="406"/>
      <c r="R46" s="407"/>
      <c r="S46" s="405"/>
      <c r="T46" s="406"/>
      <c r="U46" s="407"/>
      <c r="V46" s="271">
        <v>44700</v>
      </c>
      <c r="W46" s="144"/>
      <c r="Y46" s="145"/>
      <c r="Z46" s="146" t="s">
        <v>762</v>
      </c>
      <c r="AA46" s="259"/>
    </row>
    <row r="47" spans="1:27" ht="19.5" customHeight="1">
      <c r="B47" s="381"/>
      <c r="C47" s="176" t="s">
        <v>53</v>
      </c>
      <c r="D47" s="41">
        <v>44761</v>
      </c>
      <c r="E47" s="202" t="s">
        <v>686</v>
      </c>
      <c r="F47" s="43">
        <v>20</v>
      </c>
      <c r="G47" s="44">
        <f t="shared" si="6"/>
        <v>12</v>
      </c>
      <c r="H47" s="3"/>
      <c r="I47" s="265">
        <f t="shared" si="7"/>
        <v>8</v>
      </c>
      <c r="J47" s="392">
        <f>2+1</f>
        <v>3</v>
      </c>
      <c r="K47" s="393"/>
      <c r="L47" s="411"/>
      <c r="M47" s="392">
        <f>1+2+1</f>
        <v>4</v>
      </c>
      <c r="N47" s="393"/>
      <c r="O47" s="394"/>
      <c r="P47" s="392">
        <v>1</v>
      </c>
      <c r="Q47" s="393"/>
      <c r="R47" s="411"/>
      <c r="S47" s="392"/>
      <c r="T47" s="393"/>
      <c r="U47" s="411"/>
      <c r="V47" s="269">
        <v>44741</v>
      </c>
      <c r="W47" s="50"/>
      <c r="Y47" s="51"/>
      <c r="Z47" s="62" t="s">
        <v>768</v>
      </c>
      <c r="AA47" s="261"/>
    </row>
    <row r="48" spans="1:27" ht="19.5" customHeight="1">
      <c r="B48" s="340"/>
      <c r="C48" s="132" t="s">
        <v>53</v>
      </c>
      <c r="D48" s="89">
        <v>44896</v>
      </c>
      <c r="E48" s="90" t="s">
        <v>684</v>
      </c>
      <c r="F48" s="95">
        <v>40</v>
      </c>
      <c r="G48" s="91">
        <f t="shared" si="6"/>
        <v>30</v>
      </c>
      <c r="H48" s="3"/>
      <c r="I48" s="298">
        <f t="shared" si="7"/>
        <v>10</v>
      </c>
      <c r="J48" s="395">
        <f>1+1+1-1+1+1+1</f>
        <v>5</v>
      </c>
      <c r="K48" s="396"/>
      <c r="L48" s="418"/>
      <c r="M48" s="395">
        <f>1+2</f>
        <v>3</v>
      </c>
      <c r="N48" s="396"/>
      <c r="O48" s="397"/>
      <c r="P48" s="395">
        <f>1+1</f>
        <v>2</v>
      </c>
      <c r="Q48" s="396"/>
      <c r="R48" s="418"/>
      <c r="S48" s="395"/>
      <c r="T48" s="396"/>
      <c r="U48" s="418"/>
      <c r="V48" s="290">
        <v>44882</v>
      </c>
      <c r="W48" s="98"/>
      <c r="Y48" s="72"/>
      <c r="Z48" s="52" t="s">
        <v>762</v>
      </c>
      <c r="AA48" s="262"/>
    </row>
    <row r="49" spans="2:27" ht="19.5" customHeight="1">
      <c r="B49" s="366" t="s">
        <v>55</v>
      </c>
      <c r="C49" s="54" t="s">
        <v>56</v>
      </c>
      <c r="D49" s="55">
        <v>44743</v>
      </c>
      <c r="E49" s="112" t="s">
        <v>684</v>
      </c>
      <c r="F49" s="56">
        <v>40</v>
      </c>
      <c r="G49" s="83">
        <f t="shared" si="4"/>
        <v>22</v>
      </c>
      <c r="H49" s="45"/>
      <c r="I49" s="276">
        <f t="shared" si="7"/>
        <v>18</v>
      </c>
      <c r="J49" s="398">
        <f>1+1+1+1+1+1-1+2-1+1+1+1+1+1+1</f>
        <v>12</v>
      </c>
      <c r="K49" s="399"/>
      <c r="L49" s="400"/>
      <c r="M49" s="398"/>
      <c r="N49" s="399"/>
      <c r="O49" s="401"/>
      <c r="P49" s="398">
        <f>1+1+1+1+1+1</f>
        <v>6</v>
      </c>
      <c r="Q49" s="399"/>
      <c r="R49" s="400"/>
      <c r="S49" s="398"/>
      <c r="T49" s="399"/>
      <c r="U49" s="400"/>
      <c r="V49" s="280">
        <v>44735</v>
      </c>
      <c r="W49" s="61"/>
      <c r="Y49" s="156"/>
      <c r="Z49" s="146" t="s">
        <v>766</v>
      </c>
      <c r="AA49" s="260"/>
    </row>
    <row r="50" spans="2:27" ht="19.5" customHeight="1">
      <c r="B50" s="340"/>
      <c r="C50" s="88" t="s">
        <v>56</v>
      </c>
      <c r="D50" s="89">
        <v>44867</v>
      </c>
      <c r="E50" s="42" t="s">
        <v>684</v>
      </c>
      <c r="F50" s="95">
        <v>40</v>
      </c>
      <c r="G50" s="91">
        <f t="shared" si="4"/>
        <v>29</v>
      </c>
      <c r="H50" s="45"/>
      <c r="I50" s="286">
        <f t="shared" si="7"/>
        <v>11</v>
      </c>
      <c r="J50" s="395">
        <f>1+1+1+1-1+1+1-1</f>
        <v>4</v>
      </c>
      <c r="K50" s="396"/>
      <c r="L50" s="418"/>
      <c r="M50" s="395">
        <v>1</v>
      </c>
      <c r="N50" s="396"/>
      <c r="O50" s="397"/>
      <c r="P50" s="395">
        <f>1+4+1</f>
        <v>6</v>
      </c>
      <c r="Q50" s="396"/>
      <c r="R50" s="418"/>
      <c r="S50" s="395"/>
      <c r="T50" s="396"/>
      <c r="U50" s="418"/>
      <c r="V50" s="290">
        <v>44858</v>
      </c>
      <c r="W50" s="98"/>
      <c r="Y50" s="72"/>
      <c r="Z50" s="154" t="s">
        <v>764</v>
      </c>
      <c r="AA50" s="262"/>
    </row>
    <row r="51" spans="2:27" ht="19.5" customHeight="1" thickBot="1">
      <c r="B51" s="120"/>
      <c r="C51" s="178"/>
      <c r="D51" s="179"/>
      <c r="E51" s="102" t="s">
        <v>3</v>
      </c>
      <c r="F51" s="123" t="s">
        <v>4</v>
      </c>
      <c r="G51" s="180" t="s">
        <v>37</v>
      </c>
      <c r="H51" s="12"/>
      <c r="I51" s="181" t="s">
        <v>6</v>
      </c>
      <c r="J51" s="341" t="s">
        <v>7</v>
      </c>
      <c r="K51" s="342"/>
      <c r="L51" s="343"/>
      <c r="M51" s="341" t="s">
        <v>8</v>
      </c>
      <c r="N51" s="342"/>
      <c r="O51" s="344"/>
      <c r="P51" s="341" t="s">
        <v>9</v>
      </c>
      <c r="Q51" s="342"/>
      <c r="R51" s="343"/>
      <c r="S51" s="341" t="s">
        <v>10</v>
      </c>
      <c r="T51" s="342"/>
      <c r="U51" s="343"/>
      <c r="V51" s="125" t="s">
        <v>11</v>
      </c>
      <c r="W51" s="125" t="str">
        <f>W3</f>
        <v>キャンセル待ち</v>
      </c>
    </row>
    <row r="56" spans="2:27">
      <c r="J56" s="2" t="s">
        <v>51</v>
      </c>
    </row>
  </sheetData>
  <autoFilter ref="I3:W11" xr:uid="{66C311D5-4A05-4B07-B666-DCE7B3B3EB1D}">
    <filterColumn colId="1" showButton="0"/>
    <filterColumn colId="2" showButton="0"/>
    <filterColumn colId="4" showButton="0"/>
    <filterColumn colId="5" showButton="0"/>
    <filterColumn colId="7" showButton="0"/>
    <filterColumn colId="8" showButton="0"/>
    <filterColumn colId="10" showButton="0"/>
    <filterColumn colId="11" showButton="0"/>
  </autoFilter>
  <mergeCells count="100">
    <mergeCell ref="J51:L51"/>
    <mergeCell ref="M51:O51"/>
    <mergeCell ref="P51:R51"/>
    <mergeCell ref="S51:U51"/>
    <mergeCell ref="B49:B50"/>
    <mergeCell ref="J49:L49"/>
    <mergeCell ref="M49:O49"/>
    <mergeCell ref="P49:R49"/>
    <mergeCell ref="S49:U49"/>
    <mergeCell ref="J50:L50"/>
    <mergeCell ref="M50:O50"/>
    <mergeCell ref="P50:R50"/>
    <mergeCell ref="S50:U50"/>
    <mergeCell ref="B39:B45"/>
    <mergeCell ref="J39:L39"/>
    <mergeCell ref="M39:O39"/>
    <mergeCell ref="P39:R39"/>
    <mergeCell ref="S39:U39"/>
    <mergeCell ref="J40:L40"/>
    <mergeCell ref="J45:L45"/>
    <mergeCell ref="M45:O45"/>
    <mergeCell ref="P45:R45"/>
    <mergeCell ref="S45:U45"/>
    <mergeCell ref="J42:L42"/>
    <mergeCell ref="M42:O42"/>
    <mergeCell ref="P42:R42"/>
    <mergeCell ref="S42:U42"/>
    <mergeCell ref="J44:L44"/>
    <mergeCell ref="M44:O44"/>
    <mergeCell ref="B46:B48"/>
    <mergeCell ref="J46:L46"/>
    <mergeCell ref="M46:O46"/>
    <mergeCell ref="P46:R46"/>
    <mergeCell ref="S46:U46"/>
    <mergeCell ref="J47:L47"/>
    <mergeCell ref="M47:O47"/>
    <mergeCell ref="P47:R47"/>
    <mergeCell ref="S47:U47"/>
    <mergeCell ref="J48:L48"/>
    <mergeCell ref="M48:O48"/>
    <mergeCell ref="P48:R48"/>
    <mergeCell ref="S48:U48"/>
    <mergeCell ref="P44:R44"/>
    <mergeCell ref="S44:U44"/>
    <mergeCell ref="J43:L43"/>
    <mergeCell ref="M43:O43"/>
    <mergeCell ref="P43:R43"/>
    <mergeCell ref="S43:U43"/>
    <mergeCell ref="M40:O40"/>
    <mergeCell ref="P40:R40"/>
    <mergeCell ref="S40:U40"/>
    <mergeCell ref="J41:L41"/>
    <mergeCell ref="M37:O37"/>
    <mergeCell ref="P37:R37"/>
    <mergeCell ref="S37:U37"/>
    <mergeCell ref="J38:L38"/>
    <mergeCell ref="M38:O38"/>
    <mergeCell ref="P38:R38"/>
    <mergeCell ref="S38:U38"/>
    <mergeCell ref="M41:O41"/>
    <mergeCell ref="P41:R41"/>
    <mergeCell ref="S41:U41"/>
    <mergeCell ref="S35:U35"/>
    <mergeCell ref="B36:B37"/>
    <mergeCell ref="J36:L36"/>
    <mergeCell ref="M36:O36"/>
    <mergeCell ref="P36:R36"/>
    <mergeCell ref="S36:U36"/>
    <mergeCell ref="J37:L37"/>
    <mergeCell ref="B31:B35"/>
    <mergeCell ref="J31:L31"/>
    <mergeCell ref="M31:O31"/>
    <mergeCell ref="P31:R31"/>
    <mergeCell ref="S31:U31"/>
    <mergeCell ref="J32:L32"/>
    <mergeCell ref="J34:L34"/>
    <mergeCell ref="M34:O34"/>
    <mergeCell ref="P34:R34"/>
    <mergeCell ref="J35:L35"/>
    <mergeCell ref="M35:O35"/>
    <mergeCell ref="P35:R35"/>
    <mergeCell ref="M32:O32"/>
    <mergeCell ref="P32:R32"/>
    <mergeCell ref="S32:U32"/>
    <mergeCell ref="J33:L33"/>
    <mergeCell ref="B22:B25"/>
    <mergeCell ref="J26:L26"/>
    <mergeCell ref="M26:O26"/>
    <mergeCell ref="P26:R26"/>
    <mergeCell ref="S26:U26"/>
    <mergeCell ref="B28:B30"/>
    <mergeCell ref="M33:O33"/>
    <mergeCell ref="P33:R33"/>
    <mergeCell ref="S33:U33"/>
    <mergeCell ref="B14:B20"/>
    <mergeCell ref="J3:L3"/>
    <mergeCell ref="M3:O3"/>
    <mergeCell ref="P3:R3"/>
    <mergeCell ref="S3:U3"/>
    <mergeCell ref="B6:B12"/>
  </mergeCells>
  <phoneticPr fontId="3"/>
  <conditionalFormatting sqref="G28:G33 G22:G23 G6:G12 G14:G20 G25:G26 G35 G49:G50">
    <cfRule type="cellIs" dxfId="37" priority="11" stopIfTrue="1" operator="lessThanOrEqual">
      <formula>3</formula>
    </cfRule>
  </conditionalFormatting>
  <conditionalFormatting sqref="G24">
    <cfRule type="cellIs" dxfId="36" priority="10" stopIfTrue="1" operator="lessThanOrEqual">
      <formula>3</formula>
    </cfRule>
  </conditionalFormatting>
  <conditionalFormatting sqref="G34">
    <cfRule type="cellIs" dxfId="35" priority="9" stopIfTrue="1" operator="lessThanOrEqual">
      <formula>3</formula>
    </cfRule>
  </conditionalFormatting>
  <conditionalFormatting sqref="G39">
    <cfRule type="cellIs" dxfId="34" priority="8" stopIfTrue="1" operator="lessThanOrEqual">
      <formula>3</formula>
    </cfRule>
  </conditionalFormatting>
  <conditionalFormatting sqref="G36:G37">
    <cfRule type="cellIs" dxfId="33" priority="7" stopIfTrue="1" operator="lessThanOrEqual">
      <formula>3</formula>
    </cfRule>
  </conditionalFormatting>
  <conditionalFormatting sqref="G44:G45">
    <cfRule type="cellIs" dxfId="32" priority="6" stopIfTrue="1" operator="lessThanOrEqual">
      <formula>3</formula>
    </cfRule>
  </conditionalFormatting>
  <conditionalFormatting sqref="G46 G48">
    <cfRule type="cellIs" dxfId="31" priority="5" stopIfTrue="1" operator="lessThanOrEqual">
      <formula>3</formula>
    </cfRule>
  </conditionalFormatting>
  <conditionalFormatting sqref="G41:G42">
    <cfRule type="cellIs" dxfId="30" priority="4" stopIfTrue="1" operator="lessThanOrEqual">
      <formula>3</formula>
    </cfRule>
  </conditionalFormatting>
  <conditionalFormatting sqref="G47">
    <cfRule type="cellIs" dxfId="29" priority="3" stopIfTrue="1" operator="lessThanOrEqual">
      <formula>3</formula>
    </cfRule>
  </conditionalFormatting>
  <conditionalFormatting sqref="G40">
    <cfRule type="cellIs" dxfId="28" priority="2" stopIfTrue="1" operator="lessThanOrEqual">
      <formula>3</formula>
    </cfRule>
  </conditionalFormatting>
  <conditionalFormatting sqref="G43">
    <cfRule type="cellIs" dxfId="27" priority="1" stopIfTrue="1" operator="lessThanOrEqual">
      <formula>3</formula>
    </cfRule>
  </conditionalFormatting>
  <pageMargins left="0.49" right="0.24" top="0.28999999999999998" bottom="0.24" header="0.23" footer="0.2"/>
  <pageSetup paperSize="9" scale="61" fitToWidth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6344F-7923-48CA-9869-2CF489B66244}">
  <sheetPr codeName="Sheet13"/>
  <dimension ref="A1:T741"/>
  <sheetViews>
    <sheetView zoomScale="85" zoomScaleNormal="85" workbookViewId="0">
      <pane xSplit="1" ySplit="2" topLeftCell="B724" activePane="bottomRight" state="frozen"/>
      <selection activeCell="M36" sqref="M36:O36"/>
      <selection pane="topRight" activeCell="M36" sqref="M36:O36"/>
      <selection pane="bottomLeft" activeCell="M36" sqref="M36:O36"/>
      <selection pane="bottomRight" activeCell="M36" sqref="M36:O36"/>
    </sheetView>
  </sheetViews>
  <sheetFormatPr defaultColWidth="8.58203125" defaultRowHeight="13"/>
  <cols>
    <col min="1" max="1" width="10.58203125" style="182" bestFit="1" customWidth="1"/>
    <col min="2" max="2" width="8.58203125" style="183" bestFit="1" customWidth="1"/>
    <col min="3" max="5" width="8.58203125" style="184"/>
    <col min="6" max="6" width="8.5" style="182" bestFit="1" customWidth="1"/>
    <col min="7" max="7" width="4.83203125" style="186" bestFit="1" customWidth="1"/>
    <col min="8" max="8" width="10.58203125" style="184" bestFit="1" customWidth="1"/>
    <col min="9" max="9" width="8.33203125" style="184" customWidth="1"/>
    <col min="10" max="17" width="11.33203125" style="184" customWidth="1"/>
    <col min="18" max="18" width="9.5" style="184" customWidth="1"/>
    <col min="19" max="19" width="13.5" style="184" hidden="1" customWidth="1"/>
    <col min="20" max="20" width="37.5" style="184" hidden="1" customWidth="1"/>
    <col min="21" max="21" width="11.33203125" style="184" customWidth="1"/>
    <col min="22" max="22" width="11.75" style="184" customWidth="1"/>
    <col min="23" max="23" width="8.83203125" style="184" customWidth="1"/>
    <col min="24" max="16384" width="8.58203125" style="184"/>
  </cols>
  <sheetData>
    <row r="1" spans="1:20" ht="15" customHeight="1">
      <c r="A1" s="182" t="s">
        <v>57</v>
      </c>
      <c r="E1" s="185"/>
    </row>
    <row r="2" spans="1:20">
      <c r="A2" s="187" t="s">
        <v>58</v>
      </c>
      <c r="B2" s="188" t="s">
        <v>59</v>
      </c>
      <c r="C2" s="189" t="s">
        <v>60</v>
      </c>
      <c r="D2" s="189" t="s">
        <v>61</v>
      </c>
      <c r="E2" s="189" t="s">
        <v>62</v>
      </c>
      <c r="F2" s="190" t="s">
        <v>63</v>
      </c>
      <c r="G2" s="191" t="s">
        <v>64</v>
      </c>
      <c r="H2" s="192" t="s">
        <v>65</v>
      </c>
      <c r="I2" s="189" t="s">
        <v>66</v>
      </c>
      <c r="T2" s="189" t="s">
        <v>66</v>
      </c>
    </row>
    <row r="3" spans="1:20">
      <c r="A3" s="182">
        <v>44566</v>
      </c>
      <c r="B3" s="183">
        <v>0.70116898148148143</v>
      </c>
      <c r="C3" s="184" t="s">
        <v>73</v>
      </c>
      <c r="D3" s="184" t="s">
        <v>68</v>
      </c>
      <c r="E3" s="184" t="s">
        <v>124</v>
      </c>
      <c r="F3" s="182">
        <v>44764</v>
      </c>
      <c r="G3" s="186" t="s">
        <v>70</v>
      </c>
      <c r="H3" s="184" t="s">
        <v>71</v>
      </c>
      <c r="T3" s="184" t="s">
        <v>161</v>
      </c>
    </row>
    <row r="4" spans="1:20">
      <c r="A4" s="182">
        <v>44567</v>
      </c>
      <c r="B4" s="183">
        <v>0.59998842592592594</v>
      </c>
      <c r="C4" s="184" t="s">
        <v>67</v>
      </c>
      <c r="D4" s="184" t="s">
        <v>68</v>
      </c>
      <c r="E4" s="184" t="s">
        <v>19</v>
      </c>
      <c r="F4" s="182">
        <v>44665</v>
      </c>
      <c r="G4" s="186" t="s">
        <v>703</v>
      </c>
      <c r="H4" s="184" t="s">
        <v>704</v>
      </c>
      <c r="T4" s="184" t="s">
        <v>702</v>
      </c>
    </row>
    <row r="5" spans="1:20">
      <c r="A5" s="182">
        <v>44567</v>
      </c>
      <c r="B5" s="183">
        <v>0.60081018518518514</v>
      </c>
      <c r="C5" s="184" t="s">
        <v>67</v>
      </c>
      <c r="D5" s="184" t="s">
        <v>68</v>
      </c>
      <c r="E5" s="184" t="s">
        <v>204</v>
      </c>
      <c r="F5" s="182">
        <v>44719</v>
      </c>
      <c r="G5" s="186" t="s">
        <v>70</v>
      </c>
      <c r="H5" s="184" t="s">
        <v>71</v>
      </c>
      <c r="T5" s="184" t="s">
        <v>701</v>
      </c>
    </row>
    <row r="6" spans="1:20">
      <c r="A6" s="182">
        <v>44567</v>
      </c>
      <c r="B6" s="183">
        <v>0.60122685185185187</v>
      </c>
      <c r="C6" s="184" t="s">
        <v>67</v>
      </c>
      <c r="D6" s="184" t="s">
        <v>68</v>
      </c>
      <c r="E6" s="184" t="s">
        <v>85</v>
      </c>
      <c r="F6" s="182">
        <v>44708</v>
      </c>
      <c r="G6" s="186" t="s">
        <v>70</v>
      </c>
      <c r="H6" s="184" t="s">
        <v>71</v>
      </c>
      <c r="T6" s="184" t="s">
        <v>701</v>
      </c>
    </row>
    <row r="7" spans="1:20">
      <c r="A7" s="182">
        <v>44585</v>
      </c>
      <c r="B7" s="183">
        <v>0.57017361111111109</v>
      </c>
      <c r="C7" s="184" t="s">
        <v>73</v>
      </c>
      <c r="D7" s="184" t="s">
        <v>68</v>
      </c>
      <c r="E7" s="184" t="s">
        <v>96</v>
      </c>
      <c r="F7" s="182">
        <v>44709</v>
      </c>
      <c r="G7" s="186" t="s">
        <v>70</v>
      </c>
      <c r="H7" s="184" t="s">
        <v>71</v>
      </c>
      <c r="T7" s="184" t="s">
        <v>698</v>
      </c>
    </row>
    <row r="8" spans="1:20">
      <c r="A8" s="182">
        <v>44586</v>
      </c>
      <c r="B8" s="183">
        <v>0.42548611111111106</v>
      </c>
      <c r="C8" s="184" t="s">
        <v>67</v>
      </c>
      <c r="D8" s="184" t="s">
        <v>68</v>
      </c>
      <c r="E8" s="184" t="s">
        <v>95</v>
      </c>
      <c r="F8" s="182">
        <v>44697</v>
      </c>
      <c r="G8" s="186" t="s">
        <v>70</v>
      </c>
      <c r="H8" s="184" t="s">
        <v>71</v>
      </c>
      <c r="T8" s="184" t="s">
        <v>700</v>
      </c>
    </row>
    <row r="9" spans="1:20">
      <c r="A9" s="182">
        <v>44586</v>
      </c>
      <c r="B9" s="183">
        <v>0.66697916666666668</v>
      </c>
      <c r="C9" s="184" t="s">
        <v>67</v>
      </c>
      <c r="D9" s="184" t="s">
        <v>68</v>
      </c>
      <c r="E9" s="184" t="s">
        <v>19</v>
      </c>
      <c r="F9" s="182">
        <v>44665</v>
      </c>
      <c r="G9" s="186" t="s">
        <v>94</v>
      </c>
      <c r="H9" s="184" t="s">
        <v>76</v>
      </c>
      <c r="T9" s="184" t="s">
        <v>705</v>
      </c>
    </row>
    <row r="10" spans="1:20">
      <c r="A10" s="182">
        <v>44586</v>
      </c>
      <c r="B10" s="183">
        <v>0.6677777777777778</v>
      </c>
      <c r="C10" s="184" t="s">
        <v>67</v>
      </c>
      <c r="D10" s="184" t="s">
        <v>68</v>
      </c>
      <c r="E10" s="184" t="s">
        <v>19</v>
      </c>
      <c r="F10" s="182">
        <v>44665</v>
      </c>
      <c r="G10" s="186" t="s">
        <v>99</v>
      </c>
      <c r="H10" s="184" t="s">
        <v>71</v>
      </c>
      <c r="T10" s="184" t="s">
        <v>759</v>
      </c>
    </row>
    <row r="11" spans="1:20">
      <c r="A11" s="182">
        <v>44586</v>
      </c>
      <c r="B11" s="183">
        <v>0.66826388888888888</v>
      </c>
      <c r="C11" s="184" t="s">
        <v>67</v>
      </c>
      <c r="D11" s="184" t="s">
        <v>68</v>
      </c>
      <c r="E11" s="184" t="s">
        <v>19</v>
      </c>
      <c r="F11" s="182">
        <v>44742</v>
      </c>
      <c r="G11" s="186" t="s">
        <v>70</v>
      </c>
      <c r="H11" s="184" t="s">
        <v>71</v>
      </c>
      <c r="T11" s="184" t="s">
        <v>760</v>
      </c>
    </row>
    <row r="12" spans="1:20">
      <c r="A12" s="182">
        <v>44586</v>
      </c>
      <c r="B12" s="183">
        <v>0.66880787037037026</v>
      </c>
      <c r="C12" s="184" t="s">
        <v>67</v>
      </c>
      <c r="D12" s="184" t="s">
        <v>68</v>
      </c>
      <c r="E12" s="184" t="s">
        <v>96</v>
      </c>
      <c r="F12" s="182">
        <v>44709</v>
      </c>
      <c r="G12" s="186" t="s">
        <v>94</v>
      </c>
      <c r="H12" s="184" t="s">
        <v>76</v>
      </c>
      <c r="T12" s="184" t="s">
        <v>705</v>
      </c>
    </row>
    <row r="13" spans="1:20">
      <c r="A13" s="182">
        <v>44586</v>
      </c>
      <c r="B13" s="183">
        <v>0.67033564814814817</v>
      </c>
      <c r="C13" s="184" t="s">
        <v>67</v>
      </c>
      <c r="D13" s="184" t="s">
        <v>68</v>
      </c>
      <c r="E13" s="184" t="s">
        <v>45</v>
      </c>
      <c r="F13" s="182">
        <v>44715</v>
      </c>
      <c r="G13" s="186" t="s">
        <v>70</v>
      </c>
      <c r="H13" s="184" t="s">
        <v>71</v>
      </c>
      <c r="T13" s="184" t="s">
        <v>705</v>
      </c>
    </row>
    <row r="14" spans="1:20">
      <c r="A14" s="182">
        <v>44589</v>
      </c>
      <c r="B14" s="183">
        <v>0.48759259259259258</v>
      </c>
      <c r="C14" s="184" t="s">
        <v>73</v>
      </c>
      <c r="D14" s="184" t="s">
        <v>68</v>
      </c>
      <c r="E14" s="184" t="s">
        <v>96</v>
      </c>
      <c r="F14" s="182">
        <v>44709</v>
      </c>
      <c r="G14" s="186" t="s">
        <v>70</v>
      </c>
      <c r="H14" s="184" t="s">
        <v>87</v>
      </c>
      <c r="T14" s="184" t="s">
        <v>711</v>
      </c>
    </row>
    <row r="15" spans="1:20">
      <c r="A15" s="182">
        <v>44594</v>
      </c>
      <c r="B15" s="183">
        <v>0.72025462962962961</v>
      </c>
      <c r="C15" s="184" t="s">
        <v>67</v>
      </c>
      <c r="D15" s="184" t="s">
        <v>68</v>
      </c>
      <c r="E15" s="184" t="s">
        <v>19</v>
      </c>
      <c r="F15" s="182">
        <v>44665</v>
      </c>
      <c r="G15" s="186" t="s">
        <v>114</v>
      </c>
      <c r="H15" s="184" t="s">
        <v>87</v>
      </c>
      <c r="T15" s="184" t="s">
        <v>713</v>
      </c>
    </row>
    <row r="16" spans="1:20">
      <c r="A16" s="182">
        <v>44594</v>
      </c>
      <c r="B16" s="183">
        <v>0.72092592592592597</v>
      </c>
      <c r="C16" s="184" t="s">
        <v>67</v>
      </c>
      <c r="D16" s="184" t="s">
        <v>68</v>
      </c>
      <c r="E16" s="184" t="s">
        <v>204</v>
      </c>
      <c r="F16" s="182">
        <v>44719</v>
      </c>
      <c r="G16" s="186" t="s">
        <v>94</v>
      </c>
      <c r="H16" s="184" t="s">
        <v>76</v>
      </c>
      <c r="T16" s="184" t="s">
        <v>713</v>
      </c>
    </row>
    <row r="17" spans="1:20">
      <c r="A17" s="182">
        <v>44595</v>
      </c>
      <c r="B17" s="183">
        <v>0.47295138888888894</v>
      </c>
      <c r="C17" s="184" t="s">
        <v>67</v>
      </c>
      <c r="D17" s="184" t="s">
        <v>68</v>
      </c>
      <c r="E17" s="184" t="s">
        <v>45</v>
      </c>
      <c r="F17" s="182">
        <v>44715</v>
      </c>
      <c r="G17" s="186" t="s">
        <v>99</v>
      </c>
      <c r="H17" s="184" t="s">
        <v>222</v>
      </c>
      <c r="T17" s="184" t="s">
        <v>395</v>
      </c>
    </row>
    <row r="18" spans="1:20">
      <c r="A18" s="182">
        <v>44595</v>
      </c>
      <c r="B18" s="183">
        <v>0.47325231481481483</v>
      </c>
      <c r="C18" s="184" t="s">
        <v>67</v>
      </c>
      <c r="D18" s="184" t="s">
        <v>68</v>
      </c>
      <c r="E18" s="184" t="s">
        <v>45</v>
      </c>
      <c r="F18" s="182">
        <v>44673</v>
      </c>
      <c r="G18" s="186" t="s">
        <v>70</v>
      </c>
      <c r="H18" s="184" t="s">
        <v>71</v>
      </c>
      <c r="T18" s="184" t="s">
        <v>395</v>
      </c>
    </row>
    <row r="19" spans="1:20">
      <c r="A19" s="182">
        <v>44599</v>
      </c>
      <c r="B19" s="183">
        <v>0.63443287037037044</v>
      </c>
      <c r="C19" s="184" t="s">
        <v>67</v>
      </c>
      <c r="D19" s="184" t="s">
        <v>68</v>
      </c>
      <c r="E19" s="184" t="s">
        <v>19</v>
      </c>
      <c r="F19" s="182">
        <v>44665</v>
      </c>
      <c r="G19" s="186" t="s">
        <v>94</v>
      </c>
      <c r="H19" s="184" t="s">
        <v>101</v>
      </c>
      <c r="T19" s="184" t="s">
        <v>716</v>
      </c>
    </row>
    <row r="20" spans="1:20">
      <c r="A20" s="182">
        <v>44606</v>
      </c>
      <c r="B20" s="183">
        <v>0.6101388888888889</v>
      </c>
      <c r="C20" s="184" t="s">
        <v>73</v>
      </c>
      <c r="D20" s="184" t="s">
        <v>91</v>
      </c>
      <c r="E20" s="184" t="s">
        <v>96</v>
      </c>
      <c r="F20" s="182">
        <v>44709</v>
      </c>
      <c r="G20" s="186" t="s">
        <v>717</v>
      </c>
      <c r="H20" s="184" t="s">
        <v>718</v>
      </c>
    </row>
    <row r="21" spans="1:20">
      <c r="A21" s="182">
        <v>44608</v>
      </c>
      <c r="B21" s="183">
        <v>0.63216435185185182</v>
      </c>
      <c r="C21" s="184" t="s">
        <v>67</v>
      </c>
      <c r="D21" s="184" t="s">
        <v>78</v>
      </c>
      <c r="E21" s="184" t="s">
        <v>69</v>
      </c>
      <c r="F21" s="182">
        <v>44676</v>
      </c>
      <c r="G21" s="186" t="s">
        <v>504</v>
      </c>
      <c r="H21" s="184" t="s">
        <v>288</v>
      </c>
    </row>
    <row r="22" spans="1:20">
      <c r="A22" s="182">
        <v>44609</v>
      </c>
      <c r="B22" s="183">
        <v>0.45291666666666663</v>
      </c>
      <c r="C22" s="184" t="s">
        <v>67</v>
      </c>
      <c r="D22" s="184" t="s">
        <v>78</v>
      </c>
      <c r="E22" s="184" t="s">
        <v>124</v>
      </c>
      <c r="F22" s="182">
        <v>44764</v>
      </c>
      <c r="G22" s="186" t="s">
        <v>70</v>
      </c>
      <c r="H22" s="184" t="s">
        <v>86</v>
      </c>
    </row>
    <row r="23" spans="1:20">
      <c r="A23" s="182">
        <v>44613</v>
      </c>
      <c r="B23" s="183">
        <v>0.61094907407407406</v>
      </c>
      <c r="C23" s="184" t="s">
        <v>73</v>
      </c>
      <c r="D23" s="184" t="s">
        <v>78</v>
      </c>
      <c r="E23" s="184" t="s">
        <v>85</v>
      </c>
      <c r="F23" s="182">
        <v>44708</v>
      </c>
      <c r="G23" s="186" t="s">
        <v>70</v>
      </c>
      <c r="H23" s="184" t="s">
        <v>86</v>
      </c>
    </row>
    <row r="24" spans="1:20">
      <c r="A24" s="182">
        <v>44617</v>
      </c>
      <c r="B24" s="183">
        <v>0.42751157407407409</v>
      </c>
      <c r="C24" s="184" t="s">
        <v>73</v>
      </c>
      <c r="D24" s="184" t="s">
        <v>68</v>
      </c>
      <c r="E24" s="184" t="s">
        <v>45</v>
      </c>
      <c r="F24" s="182">
        <v>44883</v>
      </c>
      <c r="G24" s="186" t="s">
        <v>70</v>
      </c>
      <c r="H24" s="184" t="s">
        <v>71</v>
      </c>
      <c r="T24" s="184" t="s">
        <v>284</v>
      </c>
    </row>
    <row r="25" spans="1:20">
      <c r="A25" s="182">
        <v>44617</v>
      </c>
      <c r="B25" s="183">
        <v>0.44954861111111111</v>
      </c>
      <c r="C25" s="184" t="s">
        <v>73</v>
      </c>
      <c r="D25" s="184" t="s">
        <v>68</v>
      </c>
      <c r="E25" s="184" t="s">
        <v>19</v>
      </c>
      <c r="F25" s="182">
        <v>44665</v>
      </c>
      <c r="G25" s="186" t="s">
        <v>114</v>
      </c>
      <c r="H25" s="184" t="s">
        <v>182</v>
      </c>
      <c r="T25" s="184" t="s">
        <v>648</v>
      </c>
    </row>
    <row r="26" spans="1:20">
      <c r="A26" s="182">
        <v>44617</v>
      </c>
      <c r="B26" s="183">
        <v>0.59881944444444446</v>
      </c>
      <c r="C26" s="184" t="s">
        <v>73</v>
      </c>
      <c r="D26" s="184" t="s">
        <v>68</v>
      </c>
      <c r="E26" s="184" t="s">
        <v>89</v>
      </c>
      <c r="F26" s="182">
        <v>44743</v>
      </c>
      <c r="G26" s="186" t="s">
        <v>70</v>
      </c>
      <c r="H26" s="184" t="s">
        <v>71</v>
      </c>
      <c r="T26" s="184" t="s">
        <v>284</v>
      </c>
    </row>
    <row r="27" spans="1:20">
      <c r="A27" s="182">
        <v>44620</v>
      </c>
      <c r="B27" s="183">
        <v>0.64981481481481485</v>
      </c>
      <c r="C27" s="184" t="s">
        <v>73</v>
      </c>
      <c r="D27" s="184" t="s">
        <v>68</v>
      </c>
      <c r="E27" s="184" t="s">
        <v>19</v>
      </c>
      <c r="F27" s="182">
        <v>44665</v>
      </c>
      <c r="G27" s="186" t="s">
        <v>70</v>
      </c>
      <c r="H27" s="184" t="s">
        <v>117</v>
      </c>
      <c r="T27" s="184" t="s">
        <v>736</v>
      </c>
    </row>
    <row r="28" spans="1:20">
      <c r="A28" s="182">
        <v>44620</v>
      </c>
      <c r="B28" s="183">
        <v>0.65532407407407411</v>
      </c>
      <c r="C28" s="184" t="s">
        <v>73</v>
      </c>
      <c r="D28" s="184" t="s">
        <v>78</v>
      </c>
      <c r="E28" s="184" t="s">
        <v>69</v>
      </c>
      <c r="F28" s="182">
        <v>44697</v>
      </c>
      <c r="G28" s="186" t="s">
        <v>70</v>
      </c>
      <c r="H28" s="184" t="s">
        <v>86</v>
      </c>
    </row>
    <row r="29" spans="1:20">
      <c r="A29" s="182">
        <v>44620</v>
      </c>
      <c r="B29" s="183">
        <v>0.65549768518518514</v>
      </c>
      <c r="C29" s="184" t="s">
        <v>73</v>
      </c>
      <c r="D29" s="184" t="s">
        <v>78</v>
      </c>
      <c r="E29" s="184" t="s">
        <v>45</v>
      </c>
      <c r="F29" s="182">
        <v>44715</v>
      </c>
      <c r="G29" s="186" t="s">
        <v>105</v>
      </c>
      <c r="H29" s="184" t="s">
        <v>106</v>
      </c>
    </row>
    <row r="30" spans="1:20">
      <c r="A30" s="182">
        <v>44620</v>
      </c>
      <c r="B30" s="183">
        <v>0.6557291666666667</v>
      </c>
      <c r="C30" s="184" t="s">
        <v>73</v>
      </c>
      <c r="D30" s="184" t="s">
        <v>78</v>
      </c>
      <c r="E30" s="184" t="s">
        <v>19</v>
      </c>
      <c r="F30" s="182">
        <v>44742</v>
      </c>
      <c r="G30" s="186" t="s">
        <v>105</v>
      </c>
      <c r="H30" s="184" t="s">
        <v>106</v>
      </c>
    </row>
    <row r="31" spans="1:20">
      <c r="A31" s="182">
        <v>44620</v>
      </c>
      <c r="B31" s="183">
        <v>0.65601851851851845</v>
      </c>
      <c r="C31" s="184" t="s">
        <v>73</v>
      </c>
      <c r="D31" s="184" t="s">
        <v>78</v>
      </c>
      <c r="E31" s="184" t="s">
        <v>96</v>
      </c>
      <c r="F31" s="182">
        <v>44754</v>
      </c>
      <c r="G31" s="186" t="s">
        <v>75</v>
      </c>
      <c r="H31" s="184" t="s">
        <v>107</v>
      </c>
    </row>
    <row r="32" spans="1:20">
      <c r="A32" s="182">
        <v>44620</v>
      </c>
      <c r="B32" s="183">
        <v>0.65630787037037031</v>
      </c>
      <c r="C32" s="184" t="s">
        <v>73</v>
      </c>
      <c r="D32" s="184" t="s">
        <v>78</v>
      </c>
      <c r="E32" s="184" t="s">
        <v>19</v>
      </c>
      <c r="F32" s="182">
        <v>44847</v>
      </c>
      <c r="G32" s="186" t="s">
        <v>105</v>
      </c>
      <c r="H32" s="184" t="s">
        <v>106</v>
      </c>
    </row>
    <row r="33" spans="1:20">
      <c r="A33" s="182">
        <v>44621</v>
      </c>
      <c r="B33" s="183">
        <v>0.43145833333333333</v>
      </c>
      <c r="C33" s="184" t="s">
        <v>67</v>
      </c>
      <c r="D33" s="184" t="s">
        <v>78</v>
      </c>
      <c r="E33" s="184" t="s">
        <v>19</v>
      </c>
      <c r="F33" s="182">
        <v>44665</v>
      </c>
      <c r="G33" s="186" t="s">
        <v>75</v>
      </c>
      <c r="H33" s="184" t="s">
        <v>107</v>
      </c>
    </row>
    <row r="34" spans="1:20">
      <c r="A34" s="182">
        <v>44621</v>
      </c>
      <c r="B34" s="183">
        <v>0.43228009259259265</v>
      </c>
      <c r="C34" s="184" t="s">
        <v>67</v>
      </c>
      <c r="D34" s="184" t="s">
        <v>78</v>
      </c>
      <c r="E34" s="184" t="s">
        <v>45</v>
      </c>
      <c r="F34" s="182">
        <v>44674</v>
      </c>
      <c r="G34" s="186" t="s">
        <v>75</v>
      </c>
      <c r="H34" s="184" t="s">
        <v>107</v>
      </c>
    </row>
    <row r="35" spans="1:20">
      <c r="A35" s="182">
        <v>44621</v>
      </c>
      <c r="B35" s="183">
        <v>0.44885416666666672</v>
      </c>
      <c r="C35" s="184" t="s">
        <v>67</v>
      </c>
      <c r="D35" s="184" t="s">
        <v>78</v>
      </c>
      <c r="E35" s="184" t="s">
        <v>69</v>
      </c>
      <c r="F35" s="182">
        <v>44729</v>
      </c>
      <c r="G35" s="186" t="s">
        <v>70</v>
      </c>
      <c r="H35" s="184" t="s">
        <v>86</v>
      </c>
    </row>
    <row r="36" spans="1:20">
      <c r="A36" s="182">
        <v>44621</v>
      </c>
      <c r="B36" s="183">
        <v>0.62307870370370366</v>
      </c>
      <c r="C36" s="184" t="s">
        <v>67</v>
      </c>
      <c r="D36" s="184" t="s">
        <v>68</v>
      </c>
      <c r="E36" s="184" t="s">
        <v>69</v>
      </c>
      <c r="F36" s="182">
        <v>44676</v>
      </c>
      <c r="G36" s="186" t="s">
        <v>70</v>
      </c>
      <c r="H36" s="184" t="s">
        <v>71</v>
      </c>
      <c r="T36" s="184" t="s">
        <v>567</v>
      </c>
    </row>
    <row r="37" spans="1:20">
      <c r="A37" s="182">
        <v>44622</v>
      </c>
      <c r="B37" s="183">
        <v>0.4468287037037037</v>
      </c>
      <c r="C37" s="184" t="s">
        <v>67</v>
      </c>
      <c r="D37" s="184" t="s">
        <v>159</v>
      </c>
      <c r="E37" s="184" t="s">
        <v>19</v>
      </c>
      <c r="F37" s="182">
        <v>44665</v>
      </c>
      <c r="G37" s="186" t="s">
        <v>70</v>
      </c>
      <c r="H37" s="184" t="s">
        <v>216</v>
      </c>
    </row>
    <row r="38" spans="1:20">
      <c r="A38" s="182">
        <v>44622</v>
      </c>
      <c r="B38" s="183">
        <v>0.4654861111111111</v>
      </c>
      <c r="C38" s="184" t="s">
        <v>67</v>
      </c>
      <c r="D38" s="184" t="s">
        <v>159</v>
      </c>
      <c r="E38" s="184" t="s">
        <v>19</v>
      </c>
      <c r="F38" s="182">
        <v>44665</v>
      </c>
      <c r="G38" s="186" t="s">
        <v>99</v>
      </c>
      <c r="H38" s="184" t="s">
        <v>740</v>
      </c>
    </row>
    <row r="39" spans="1:20">
      <c r="A39" s="182">
        <v>44624</v>
      </c>
      <c r="B39" s="183">
        <v>0.38409722222222226</v>
      </c>
      <c r="C39" s="184" t="s">
        <v>67</v>
      </c>
      <c r="D39" s="184" t="s">
        <v>68</v>
      </c>
      <c r="E39" s="184" t="s">
        <v>19</v>
      </c>
      <c r="F39" s="182">
        <v>44742</v>
      </c>
      <c r="G39" s="186" t="s">
        <v>114</v>
      </c>
      <c r="H39" s="184" t="s">
        <v>87</v>
      </c>
      <c r="T39" s="184" t="s">
        <v>743</v>
      </c>
    </row>
    <row r="40" spans="1:20">
      <c r="A40" s="182">
        <v>44624</v>
      </c>
      <c r="B40" s="183">
        <v>0.44188657407407406</v>
      </c>
      <c r="C40" s="184" t="s">
        <v>67</v>
      </c>
      <c r="D40" s="184" t="s">
        <v>78</v>
      </c>
      <c r="E40" s="184" t="s">
        <v>19</v>
      </c>
      <c r="F40" s="182">
        <v>44665</v>
      </c>
      <c r="G40" s="186" t="s">
        <v>94</v>
      </c>
      <c r="H40" s="184" t="s">
        <v>106</v>
      </c>
    </row>
    <row r="41" spans="1:20">
      <c r="A41" s="182">
        <v>44624</v>
      </c>
      <c r="B41" s="183">
        <v>0.44372685185185184</v>
      </c>
      <c r="C41" s="184" t="s">
        <v>67</v>
      </c>
      <c r="D41" s="184" t="s">
        <v>78</v>
      </c>
      <c r="E41" s="184" t="s">
        <v>19</v>
      </c>
      <c r="F41" s="182">
        <v>44742</v>
      </c>
      <c r="G41" s="186" t="s">
        <v>94</v>
      </c>
      <c r="H41" s="184" t="s">
        <v>113</v>
      </c>
    </row>
    <row r="42" spans="1:20">
      <c r="A42" s="182">
        <v>44624</v>
      </c>
      <c r="B42" s="183">
        <v>0.44391203703703702</v>
      </c>
      <c r="C42" s="184" t="s">
        <v>67</v>
      </c>
      <c r="D42" s="184" t="s">
        <v>78</v>
      </c>
      <c r="E42" s="184" t="s">
        <v>45</v>
      </c>
      <c r="F42" s="182">
        <v>44674</v>
      </c>
      <c r="G42" s="186" t="s">
        <v>94</v>
      </c>
      <c r="H42" s="184" t="s">
        <v>106</v>
      </c>
    </row>
    <row r="43" spans="1:20">
      <c r="A43" s="182">
        <v>44624</v>
      </c>
      <c r="B43" s="183">
        <v>0.4442592592592593</v>
      </c>
      <c r="C43" s="184" t="s">
        <v>67</v>
      </c>
      <c r="D43" s="184" t="s">
        <v>78</v>
      </c>
      <c r="E43" s="184" t="s">
        <v>45</v>
      </c>
      <c r="F43" s="182">
        <v>44715</v>
      </c>
      <c r="G43" s="186" t="s">
        <v>94</v>
      </c>
      <c r="H43" s="184" t="s">
        <v>113</v>
      </c>
    </row>
    <row r="44" spans="1:20">
      <c r="A44" s="182">
        <v>44624</v>
      </c>
      <c r="B44" s="183">
        <v>0.44437499999999996</v>
      </c>
      <c r="C44" s="184" t="s">
        <v>67</v>
      </c>
      <c r="D44" s="184" t="s">
        <v>78</v>
      </c>
      <c r="E44" s="184" t="s">
        <v>45</v>
      </c>
      <c r="F44" s="182">
        <v>44883</v>
      </c>
      <c r="G44" s="186" t="s">
        <v>70</v>
      </c>
      <c r="H44" s="184" t="s">
        <v>86</v>
      </c>
    </row>
    <row r="45" spans="1:20">
      <c r="A45" s="182">
        <v>44624</v>
      </c>
      <c r="B45" s="183">
        <v>0.44641203703703702</v>
      </c>
      <c r="C45" s="184" t="s">
        <v>67</v>
      </c>
      <c r="D45" s="184" t="s">
        <v>78</v>
      </c>
      <c r="E45" s="184" t="s">
        <v>45</v>
      </c>
      <c r="F45" s="182">
        <v>44715</v>
      </c>
      <c r="G45" s="186" t="s">
        <v>94</v>
      </c>
      <c r="H45" s="184" t="s">
        <v>265</v>
      </c>
    </row>
    <row r="46" spans="1:20">
      <c r="A46" s="182">
        <v>44624</v>
      </c>
      <c r="B46" s="183">
        <v>0.45883101851851849</v>
      </c>
      <c r="C46" s="184" t="s">
        <v>73</v>
      </c>
      <c r="D46" s="184" t="s">
        <v>68</v>
      </c>
      <c r="E46" s="184" t="s">
        <v>85</v>
      </c>
      <c r="F46" s="182">
        <v>44708</v>
      </c>
      <c r="G46" s="186" t="s">
        <v>94</v>
      </c>
      <c r="H46" s="184" t="s">
        <v>76</v>
      </c>
      <c r="T46" s="184" t="s">
        <v>422</v>
      </c>
    </row>
    <row r="47" spans="1:20">
      <c r="A47" s="182">
        <v>44624</v>
      </c>
      <c r="B47" s="183">
        <v>0.45973379629629635</v>
      </c>
      <c r="C47" s="184" t="s">
        <v>73</v>
      </c>
      <c r="D47" s="184" t="s">
        <v>68</v>
      </c>
      <c r="E47" s="184" t="s">
        <v>89</v>
      </c>
      <c r="F47" s="182">
        <v>44743</v>
      </c>
      <c r="G47" s="186" t="s">
        <v>94</v>
      </c>
      <c r="H47" s="184" t="s">
        <v>76</v>
      </c>
      <c r="T47" s="184" t="s">
        <v>422</v>
      </c>
    </row>
    <row r="48" spans="1:20">
      <c r="A48" s="182">
        <v>44627</v>
      </c>
      <c r="B48" s="183">
        <v>0.39778935185185182</v>
      </c>
      <c r="C48" s="184" t="s">
        <v>67</v>
      </c>
      <c r="D48" s="184" t="s">
        <v>78</v>
      </c>
      <c r="E48" s="184" t="s">
        <v>19</v>
      </c>
      <c r="F48" s="182">
        <v>44665</v>
      </c>
      <c r="G48" s="186" t="s">
        <v>114</v>
      </c>
      <c r="H48" s="184" t="s">
        <v>265</v>
      </c>
    </row>
    <row r="49" spans="1:20">
      <c r="A49" s="182">
        <v>44627</v>
      </c>
      <c r="B49" s="183">
        <v>0.4105671296296296</v>
      </c>
      <c r="C49" s="184" t="s">
        <v>67</v>
      </c>
      <c r="D49" s="184" t="s">
        <v>91</v>
      </c>
      <c r="E49" s="184" t="s">
        <v>96</v>
      </c>
      <c r="F49" s="182">
        <v>44709</v>
      </c>
      <c r="G49" s="186" t="s">
        <v>70</v>
      </c>
      <c r="H49" s="184" t="s">
        <v>745</v>
      </c>
    </row>
    <row r="50" spans="1:20">
      <c r="A50" s="182">
        <v>44628</v>
      </c>
      <c r="B50" s="183">
        <v>0.4377199074074074</v>
      </c>
      <c r="C50" s="184" t="s">
        <v>73</v>
      </c>
      <c r="D50" s="184" t="s">
        <v>68</v>
      </c>
      <c r="E50" s="184" t="s">
        <v>96</v>
      </c>
      <c r="F50" s="182">
        <v>44709</v>
      </c>
      <c r="G50" s="186" t="s">
        <v>94</v>
      </c>
      <c r="H50" s="184" t="s">
        <v>101</v>
      </c>
      <c r="T50" s="184" t="s">
        <v>746</v>
      </c>
    </row>
    <row r="51" spans="1:20">
      <c r="A51" s="182">
        <v>44628</v>
      </c>
      <c r="B51" s="183">
        <v>0.69900462962962961</v>
      </c>
      <c r="C51" s="184" t="s">
        <v>73</v>
      </c>
      <c r="D51" s="184" t="s">
        <v>78</v>
      </c>
      <c r="E51" s="184" t="s">
        <v>89</v>
      </c>
      <c r="F51" s="182">
        <v>44743</v>
      </c>
      <c r="G51" s="186" t="s">
        <v>70</v>
      </c>
      <c r="H51" s="184" t="s">
        <v>86</v>
      </c>
    </row>
    <row r="52" spans="1:20">
      <c r="A52" s="182">
        <v>44629</v>
      </c>
      <c r="B52" s="183">
        <v>0.46468749999999998</v>
      </c>
      <c r="C52" s="184" t="s">
        <v>67</v>
      </c>
      <c r="D52" s="184" t="s">
        <v>68</v>
      </c>
      <c r="E52" s="184" t="s">
        <v>95</v>
      </c>
      <c r="F52" s="182">
        <v>44697</v>
      </c>
      <c r="G52" s="186" t="s">
        <v>70</v>
      </c>
      <c r="H52" s="184" t="s">
        <v>76</v>
      </c>
      <c r="T52" s="184" t="s">
        <v>747</v>
      </c>
    </row>
    <row r="53" spans="1:20">
      <c r="A53" s="182">
        <v>44629</v>
      </c>
      <c r="B53" s="183">
        <v>0.54905092592592586</v>
      </c>
      <c r="C53" s="184" t="s">
        <v>73</v>
      </c>
      <c r="D53" s="184" t="s">
        <v>68</v>
      </c>
      <c r="E53" s="184" t="s">
        <v>19</v>
      </c>
      <c r="F53" s="182">
        <v>44665</v>
      </c>
      <c r="G53" s="186" t="s">
        <v>94</v>
      </c>
      <c r="H53" s="184" t="s">
        <v>259</v>
      </c>
      <c r="T53" s="184" t="s">
        <v>748</v>
      </c>
    </row>
    <row r="54" spans="1:20">
      <c r="A54" s="182">
        <v>44629</v>
      </c>
      <c r="B54" s="183">
        <v>0.569849537037037</v>
      </c>
      <c r="C54" s="184" t="s">
        <v>73</v>
      </c>
      <c r="D54" s="184" t="s">
        <v>68</v>
      </c>
      <c r="E54" s="184" t="s">
        <v>69</v>
      </c>
      <c r="F54" s="182">
        <v>44676</v>
      </c>
      <c r="G54" s="186" t="s">
        <v>94</v>
      </c>
      <c r="H54" s="184" t="s">
        <v>76</v>
      </c>
      <c r="T54" s="184" t="s">
        <v>749</v>
      </c>
    </row>
    <row r="55" spans="1:20">
      <c r="A55" s="182">
        <v>44629</v>
      </c>
      <c r="B55" s="183">
        <v>0.57103009259259252</v>
      </c>
      <c r="C55" s="184" t="s">
        <v>73</v>
      </c>
      <c r="D55" s="184" t="s">
        <v>78</v>
      </c>
      <c r="E55" s="184" t="s">
        <v>96</v>
      </c>
      <c r="F55" s="182">
        <v>44709</v>
      </c>
      <c r="G55" s="186" t="s">
        <v>70</v>
      </c>
      <c r="H55" s="184" t="s">
        <v>86</v>
      </c>
    </row>
    <row r="56" spans="1:20">
      <c r="A56" s="182">
        <v>44630</v>
      </c>
      <c r="B56" s="183">
        <v>0.67172453703703694</v>
      </c>
      <c r="C56" s="184" t="s">
        <v>67</v>
      </c>
      <c r="D56" s="184" t="s">
        <v>78</v>
      </c>
      <c r="E56" s="184" t="s">
        <v>45</v>
      </c>
      <c r="F56" s="182">
        <v>44674</v>
      </c>
      <c r="G56" s="186" t="s">
        <v>94</v>
      </c>
      <c r="H56" s="184" t="s">
        <v>113</v>
      </c>
    </row>
    <row r="57" spans="1:20">
      <c r="A57" s="182">
        <v>44630</v>
      </c>
      <c r="B57" s="183">
        <v>0.67202546296296306</v>
      </c>
      <c r="C57" s="184" t="s">
        <v>67</v>
      </c>
      <c r="D57" s="184" t="s">
        <v>78</v>
      </c>
      <c r="E57" s="184" t="s">
        <v>19</v>
      </c>
      <c r="F57" s="182">
        <v>44742</v>
      </c>
      <c r="G57" s="186" t="s">
        <v>94</v>
      </c>
      <c r="H57" s="184" t="s">
        <v>265</v>
      </c>
    </row>
    <row r="58" spans="1:20">
      <c r="A58" s="182">
        <v>44631</v>
      </c>
      <c r="B58" s="183">
        <v>0.49247685185185186</v>
      </c>
      <c r="C58" s="184" t="s">
        <v>73</v>
      </c>
      <c r="D58" s="184" t="s">
        <v>68</v>
      </c>
      <c r="E58" s="184" t="s">
        <v>19</v>
      </c>
      <c r="F58" s="182">
        <v>44665</v>
      </c>
      <c r="G58" s="186" t="s">
        <v>70</v>
      </c>
      <c r="H58" s="184" t="s">
        <v>273</v>
      </c>
      <c r="T58" s="184" t="s">
        <v>286</v>
      </c>
    </row>
    <row r="59" spans="1:20">
      <c r="A59" s="182">
        <v>44631</v>
      </c>
      <c r="B59" s="183">
        <v>0.49349537037037039</v>
      </c>
      <c r="C59" s="184" t="s">
        <v>73</v>
      </c>
      <c r="D59" s="184" t="s">
        <v>68</v>
      </c>
      <c r="E59" s="184" t="s">
        <v>19</v>
      </c>
      <c r="F59" s="182">
        <v>44742</v>
      </c>
      <c r="G59" s="186" t="s">
        <v>70</v>
      </c>
      <c r="H59" s="184" t="s">
        <v>101</v>
      </c>
      <c r="T59" s="184" t="s">
        <v>286</v>
      </c>
    </row>
    <row r="60" spans="1:20">
      <c r="A60" s="182">
        <v>44631</v>
      </c>
      <c r="B60" s="183">
        <v>0.49425925925925923</v>
      </c>
      <c r="C60" s="184" t="s">
        <v>73</v>
      </c>
      <c r="D60" s="184" t="s">
        <v>68</v>
      </c>
      <c r="E60" s="184" t="s">
        <v>124</v>
      </c>
      <c r="F60" s="182">
        <v>44764</v>
      </c>
      <c r="G60" s="186" t="s">
        <v>94</v>
      </c>
      <c r="H60" s="184" t="s">
        <v>76</v>
      </c>
      <c r="T60" s="184" t="s">
        <v>751</v>
      </c>
    </row>
    <row r="61" spans="1:20">
      <c r="A61" s="182">
        <v>44634</v>
      </c>
      <c r="B61" s="183">
        <v>0.41576388888888888</v>
      </c>
      <c r="C61" s="184" t="s">
        <v>67</v>
      </c>
      <c r="D61" s="184" t="s">
        <v>91</v>
      </c>
      <c r="E61" s="184" t="s">
        <v>96</v>
      </c>
      <c r="F61" s="182">
        <v>44709</v>
      </c>
      <c r="G61" s="186" t="s">
        <v>94</v>
      </c>
      <c r="H61" s="184" t="s">
        <v>752</v>
      </c>
    </row>
    <row r="62" spans="1:20">
      <c r="A62" s="182">
        <v>44634</v>
      </c>
      <c r="B62" s="183">
        <v>0.4157986111111111</v>
      </c>
      <c r="C62" s="184" t="s">
        <v>67</v>
      </c>
      <c r="D62" s="184" t="s">
        <v>91</v>
      </c>
      <c r="E62" s="184" t="s">
        <v>96</v>
      </c>
      <c r="F62" s="182">
        <v>44709</v>
      </c>
      <c r="G62" s="186" t="s">
        <v>94</v>
      </c>
      <c r="H62" s="184" t="s">
        <v>752</v>
      </c>
    </row>
    <row r="63" spans="1:20">
      <c r="A63" s="182">
        <v>44634</v>
      </c>
      <c r="B63" s="183">
        <v>0.41817129629629629</v>
      </c>
      <c r="C63" s="184" t="s">
        <v>67</v>
      </c>
      <c r="D63" s="184" t="s">
        <v>78</v>
      </c>
      <c r="E63" s="184" t="s">
        <v>19</v>
      </c>
      <c r="F63" s="182">
        <v>44665</v>
      </c>
      <c r="G63" s="186" t="s">
        <v>94</v>
      </c>
      <c r="H63" s="184" t="s">
        <v>288</v>
      </c>
    </row>
    <row r="64" spans="1:20">
      <c r="A64" s="182">
        <v>44634</v>
      </c>
      <c r="B64" s="183">
        <v>0.4183912037037037</v>
      </c>
      <c r="C64" s="184" t="s">
        <v>67</v>
      </c>
      <c r="D64" s="184" t="s">
        <v>78</v>
      </c>
      <c r="E64" s="184" t="s">
        <v>45</v>
      </c>
      <c r="F64" s="182">
        <v>44674</v>
      </c>
      <c r="G64" s="186" t="s">
        <v>114</v>
      </c>
      <c r="H64" s="184" t="s">
        <v>288</v>
      </c>
    </row>
    <row r="65" spans="1:20">
      <c r="A65" s="182">
        <v>44634</v>
      </c>
      <c r="B65" s="183">
        <v>0.47399305555555554</v>
      </c>
      <c r="C65" s="184" t="s">
        <v>67</v>
      </c>
      <c r="D65" s="184" t="s">
        <v>68</v>
      </c>
      <c r="E65" s="184" t="s">
        <v>19</v>
      </c>
      <c r="F65" s="182">
        <v>44665</v>
      </c>
      <c r="G65" s="186" t="s">
        <v>99</v>
      </c>
      <c r="H65" s="184" t="s">
        <v>259</v>
      </c>
      <c r="T65" s="184" t="s">
        <v>716</v>
      </c>
    </row>
    <row r="66" spans="1:20">
      <c r="A66" s="182">
        <v>44634</v>
      </c>
      <c r="B66" s="183">
        <v>0.59287037037037038</v>
      </c>
      <c r="C66" s="184" t="s">
        <v>67</v>
      </c>
      <c r="D66" s="184" t="s">
        <v>78</v>
      </c>
      <c r="E66" s="184" t="s">
        <v>124</v>
      </c>
      <c r="F66" s="182">
        <v>44764</v>
      </c>
      <c r="G66" s="186" t="s">
        <v>94</v>
      </c>
      <c r="H66" s="184" t="s">
        <v>107</v>
      </c>
    </row>
    <row r="67" spans="1:20">
      <c r="A67" s="182">
        <v>44634</v>
      </c>
      <c r="B67" s="183">
        <v>0.63435185185185183</v>
      </c>
      <c r="C67" s="184" t="s">
        <v>67</v>
      </c>
      <c r="D67" s="184" t="s">
        <v>68</v>
      </c>
      <c r="E67" s="184" t="s">
        <v>19</v>
      </c>
      <c r="F67" s="182">
        <v>44665</v>
      </c>
      <c r="G67" s="186" t="s">
        <v>83</v>
      </c>
      <c r="H67" s="184" t="s">
        <v>256</v>
      </c>
      <c r="T67" s="184" t="s">
        <v>110</v>
      </c>
    </row>
    <row r="68" spans="1:20">
      <c r="A68" s="182">
        <v>44634</v>
      </c>
      <c r="B68" s="183">
        <v>0.63549768518518512</v>
      </c>
      <c r="C68" s="184" t="s">
        <v>67</v>
      </c>
      <c r="D68" s="184" t="s">
        <v>68</v>
      </c>
      <c r="E68" s="184" t="s">
        <v>45</v>
      </c>
      <c r="F68" s="182">
        <v>44674</v>
      </c>
      <c r="G68" s="186" t="s">
        <v>83</v>
      </c>
      <c r="H68" s="184" t="s">
        <v>103</v>
      </c>
      <c r="T68" s="184" t="s">
        <v>110</v>
      </c>
    </row>
    <row r="69" spans="1:20">
      <c r="A69" s="182">
        <v>44634</v>
      </c>
      <c r="B69" s="183">
        <v>0.69248842592592597</v>
      </c>
      <c r="C69" s="184" t="s">
        <v>67</v>
      </c>
      <c r="D69" s="184" t="s">
        <v>68</v>
      </c>
      <c r="E69" s="184" t="s">
        <v>124</v>
      </c>
      <c r="F69" s="182">
        <v>44887</v>
      </c>
      <c r="G69" s="186" t="s">
        <v>753</v>
      </c>
      <c r="H69" s="184" t="s">
        <v>259</v>
      </c>
      <c r="T69" s="275" t="s">
        <v>616</v>
      </c>
    </row>
    <row r="70" spans="1:20">
      <c r="A70" s="182">
        <v>44634</v>
      </c>
      <c r="B70" s="183">
        <v>0.69567129629629632</v>
      </c>
      <c r="C70" s="184" t="s">
        <v>67</v>
      </c>
      <c r="D70" s="184" t="s">
        <v>91</v>
      </c>
      <c r="E70" s="184" t="s">
        <v>69</v>
      </c>
      <c r="F70" s="182">
        <v>44676</v>
      </c>
      <c r="G70" s="186" t="s">
        <v>75</v>
      </c>
      <c r="H70" s="184" t="s">
        <v>92</v>
      </c>
    </row>
    <row r="71" spans="1:20">
      <c r="A71" s="182">
        <v>44634</v>
      </c>
      <c r="B71" s="183">
        <v>0.69606481481481486</v>
      </c>
      <c r="C71" s="184" t="s">
        <v>67</v>
      </c>
      <c r="D71" s="184" t="s">
        <v>78</v>
      </c>
      <c r="E71" s="184" t="s">
        <v>19</v>
      </c>
      <c r="F71" s="182">
        <v>44665</v>
      </c>
      <c r="G71" s="186" t="s">
        <v>114</v>
      </c>
      <c r="H71" s="184" t="s">
        <v>327</v>
      </c>
    </row>
    <row r="72" spans="1:20">
      <c r="A72" s="182">
        <v>44635</v>
      </c>
      <c r="B72" s="183">
        <v>0.39048611111111109</v>
      </c>
      <c r="C72" s="184" t="s">
        <v>67</v>
      </c>
      <c r="D72" s="184" t="s">
        <v>68</v>
      </c>
      <c r="E72" s="184" t="s">
        <v>19</v>
      </c>
      <c r="F72" s="182">
        <v>44665</v>
      </c>
      <c r="G72" s="186" t="s">
        <v>94</v>
      </c>
      <c r="H72" s="184" t="s">
        <v>305</v>
      </c>
      <c r="T72" s="184" t="s">
        <v>754</v>
      </c>
    </row>
    <row r="73" spans="1:20">
      <c r="A73" s="182">
        <v>44635</v>
      </c>
      <c r="B73" s="183">
        <v>0.49276620370370372</v>
      </c>
      <c r="C73" s="184" t="s">
        <v>73</v>
      </c>
      <c r="D73" s="184" t="s">
        <v>68</v>
      </c>
      <c r="E73" s="184" t="s">
        <v>69</v>
      </c>
      <c r="F73" s="182">
        <v>44676</v>
      </c>
      <c r="G73" s="186" t="s">
        <v>112</v>
      </c>
      <c r="H73" s="184" t="s">
        <v>103</v>
      </c>
      <c r="T73" s="184" t="s">
        <v>755</v>
      </c>
    </row>
    <row r="74" spans="1:20">
      <c r="A74" s="182">
        <v>44635</v>
      </c>
      <c r="B74" s="183">
        <v>0.6466898148148148</v>
      </c>
      <c r="C74" s="184" t="s">
        <v>67</v>
      </c>
      <c r="D74" s="184" t="s">
        <v>91</v>
      </c>
      <c r="E74" s="184" t="s">
        <v>85</v>
      </c>
      <c r="F74" s="182">
        <v>44708</v>
      </c>
      <c r="G74" s="186" t="s">
        <v>70</v>
      </c>
      <c r="H74" s="184" t="s">
        <v>93</v>
      </c>
    </row>
    <row r="75" spans="1:20">
      <c r="A75" s="182">
        <v>44635</v>
      </c>
      <c r="B75" s="183">
        <v>0.67756944444444445</v>
      </c>
      <c r="C75" s="184" t="s">
        <v>73</v>
      </c>
      <c r="D75" s="184" t="s">
        <v>68</v>
      </c>
      <c r="E75" s="184" t="s">
        <v>19</v>
      </c>
      <c r="F75" s="182">
        <v>44665</v>
      </c>
      <c r="G75" s="186" t="s">
        <v>94</v>
      </c>
      <c r="H75" s="184" t="s">
        <v>322</v>
      </c>
      <c r="T75" s="184" t="s">
        <v>234</v>
      </c>
    </row>
    <row r="76" spans="1:20">
      <c r="A76" s="182">
        <v>44635</v>
      </c>
      <c r="B76" s="183">
        <v>0.67812499999999998</v>
      </c>
      <c r="C76" s="184" t="s">
        <v>73</v>
      </c>
      <c r="D76" s="184" t="s">
        <v>68</v>
      </c>
      <c r="E76" s="184" t="s">
        <v>96</v>
      </c>
      <c r="F76" s="182">
        <v>44709</v>
      </c>
      <c r="G76" s="186" t="s">
        <v>112</v>
      </c>
      <c r="H76" s="184" t="s">
        <v>117</v>
      </c>
      <c r="T76" s="184" t="s">
        <v>234</v>
      </c>
    </row>
    <row r="77" spans="1:20">
      <c r="A77" s="182">
        <v>44635</v>
      </c>
      <c r="B77" s="183">
        <v>0.67868055555555562</v>
      </c>
      <c r="C77" s="184" t="s">
        <v>73</v>
      </c>
      <c r="D77" s="184" t="s">
        <v>68</v>
      </c>
      <c r="E77" s="184" t="s">
        <v>45</v>
      </c>
      <c r="F77" s="182">
        <v>44674</v>
      </c>
      <c r="G77" s="186" t="s">
        <v>94</v>
      </c>
      <c r="H77" s="184" t="s">
        <v>182</v>
      </c>
      <c r="T77" s="184" t="s">
        <v>234</v>
      </c>
    </row>
    <row r="78" spans="1:20">
      <c r="A78" s="182">
        <v>44637</v>
      </c>
      <c r="B78" s="183">
        <v>0.4702662037037037</v>
      </c>
      <c r="C78" s="184" t="s">
        <v>67</v>
      </c>
      <c r="D78" s="184" t="s">
        <v>68</v>
      </c>
      <c r="E78" s="184" t="s">
        <v>95</v>
      </c>
      <c r="F78" s="182">
        <v>44697</v>
      </c>
      <c r="G78" s="186" t="s">
        <v>94</v>
      </c>
      <c r="H78" s="184" t="s">
        <v>87</v>
      </c>
      <c r="T78" s="184" t="s">
        <v>161</v>
      </c>
    </row>
    <row r="79" spans="1:20">
      <c r="A79" s="182">
        <v>44637</v>
      </c>
      <c r="B79" s="183">
        <v>0.53450231481481481</v>
      </c>
      <c r="C79" s="184" t="s">
        <v>67</v>
      </c>
      <c r="D79" s="184" t="s">
        <v>91</v>
      </c>
      <c r="E79" s="184" t="s">
        <v>96</v>
      </c>
      <c r="F79" s="182">
        <v>44709</v>
      </c>
      <c r="G79" s="186" t="s">
        <v>94</v>
      </c>
      <c r="H79" s="184" t="s">
        <v>756</v>
      </c>
    </row>
    <row r="80" spans="1:20">
      <c r="A80" s="182">
        <v>44637</v>
      </c>
      <c r="B80" s="183">
        <v>0.57171296296296303</v>
      </c>
      <c r="C80" s="184" t="s">
        <v>67</v>
      </c>
      <c r="D80" s="184" t="s">
        <v>68</v>
      </c>
      <c r="E80" s="184" t="s">
        <v>19</v>
      </c>
      <c r="F80" s="182">
        <v>44742</v>
      </c>
      <c r="G80" s="186" t="s">
        <v>99</v>
      </c>
      <c r="H80" s="184" t="s">
        <v>87</v>
      </c>
      <c r="T80" s="184" t="s">
        <v>757</v>
      </c>
    </row>
    <row r="81" spans="1:20">
      <c r="A81" s="182">
        <v>44637</v>
      </c>
      <c r="B81" s="183">
        <v>0.57210648148148147</v>
      </c>
      <c r="C81" s="184" t="s">
        <v>67</v>
      </c>
      <c r="D81" s="184" t="s">
        <v>68</v>
      </c>
      <c r="E81" s="184" t="s">
        <v>19</v>
      </c>
      <c r="F81" s="182">
        <v>44665</v>
      </c>
      <c r="G81" s="186" t="s">
        <v>94</v>
      </c>
      <c r="H81" s="184" t="s">
        <v>185</v>
      </c>
      <c r="T81" s="184" t="s">
        <v>758</v>
      </c>
    </row>
    <row r="82" spans="1:20">
      <c r="A82" s="182">
        <v>44637</v>
      </c>
      <c r="B82" s="183">
        <v>0.5862384259259259</v>
      </c>
      <c r="C82" s="184" t="s">
        <v>67</v>
      </c>
      <c r="D82" s="184" t="s">
        <v>68</v>
      </c>
      <c r="E82" s="184" t="s">
        <v>95</v>
      </c>
      <c r="F82" s="182">
        <v>44697</v>
      </c>
      <c r="G82" s="186" t="s">
        <v>94</v>
      </c>
      <c r="H82" s="184" t="s">
        <v>101</v>
      </c>
      <c r="T82" s="184" t="s">
        <v>761</v>
      </c>
    </row>
    <row r="83" spans="1:20">
      <c r="A83" s="182">
        <v>44638</v>
      </c>
      <c r="B83" s="183">
        <v>0.3787152777777778</v>
      </c>
      <c r="C83" s="184" t="s">
        <v>73</v>
      </c>
      <c r="D83" s="184" t="s">
        <v>68</v>
      </c>
      <c r="E83" s="184" t="s">
        <v>19</v>
      </c>
      <c r="F83" s="182">
        <v>44665</v>
      </c>
      <c r="G83" s="186" t="s">
        <v>114</v>
      </c>
      <c r="H83" s="184" t="s">
        <v>190</v>
      </c>
      <c r="T83" s="184" t="s">
        <v>276</v>
      </c>
    </row>
    <row r="84" spans="1:20">
      <c r="A84" s="182">
        <v>44642</v>
      </c>
      <c r="B84" s="183">
        <v>0.47949074074074072</v>
      </c>
      <c r="C84" s="184" t="s">
        <v>67</v>
      </c>
      <c r="D84" s="184" t="s">
        <v>78</v>
      </c>
      <c r="E84" s="184" t="s">
        <v>124</v>
      </c>
      <c r="F84" s="182">
        <v>44764</v>
      </c>
      <c r="G84" s="186" t="s">
        <v>94</v>
      </c>
      <c r="H84" s="184" t="s">
        <v>106</v>
      </c>
    </row>
    <row r="85" spans="1:20">
      <c r="A85" s="182">
        <v>44642</v>
      </c>
      <c r="B85" s="183">
        <v>0.49729166666666669</v>
      </c>
      <c r="C85" s="184" t="s">
        <v>67</v>
      </c>
      <c r="D85" s="184" t="s">
        <v>68</v>
      </c>
      <c r="E85" s="184" t="s">
        <v>45</v>
      </c>
      <c r="F85" s="182">
        <v>44674</v>
      </c>
      <c r="G85" s="186" t="s">
        <v>114</v>
      </c>
      <c r="H85" s="184" t="s">
        <v>259</v>
      </c>
      <c r="T85" s="184" t="s">
        <v>333</v>
      </c>
    </row>
    <row r="86" spans="1:20">
      <c r="A86" s="182">
        <v>44642</v>
      </c>
      <c r="B86" s="183">
        <v>0.50090277777777781</v>
      </c>
      <c r="C86" s="184" t="s">
        <v>67</v>
      </c>
      <c r="D86" s="184" t="s">
        <v>68</v>
      </c>
      <c r="E86" s="184" t="s">
        <v>85</v>
      </c>
      <c r="F86" s="182">
        <v>44708</v>
      </c>
      <c r="G86" s="186" t="s">
        <v>94</v>
      </c>
      <c r="H86" s="184" t="s">
        <v>87</v>
      </c>
      <c r="T86" s="184" t="s">
        <v>771</v>
      </c>
    </row>
    <row r="87" spans="1:20">
      <c r="A87" s="182">
        <v>44642</v>
      </c>
      <c r="B87" s="183">
        <v>0.5012847222222222</v>
      </c>
      <c r="C87" s="184" t="s">
        <v>67</v>
      </c>
      <c r="D87" s="184" t="s">
        <v>68</v>
      </c>
      <c r="E87" s="184" t="s">
        <v>89</v>
      </c>
      <c r="F87" s="182">
        <v>44743</v>
      </c>
      <c r="G87" s="186" t="s">
        <v>94</v>
      </c>
      <c r="H87" s="184" t="s">
        <v>87</v>
      </c>
      <c r="T87" s="184" t="s">
        <v>771</v>
      </c>
    </row>
    <row r="88" spans="1:20">
      <c r="A88" s="182">
        <v>44642</v>
      </c>
      <c r="B88" s="183">
        <v>0.53104166666666663</v>
      </c>
      <c r="C88" s="184" t="s">
        <v>67</v>
      </c>
      <c r="D88" s="184" t="s">
        <v>68</v>
      </c>
      <c r="E88" s="184" t="s">
        <v>69</v>
      </c>
      <c r="F88" s="182">
        <v>44676</v>
      </c>
      <c r="G88" s="186" t="s">
        <v>112</v>
      </c>
      <c r="H88" s="184" t="s">
        <v>259</v>
      </c>
      <c r="T88" s="184" t="s">
        <v>772</v>
      </c>
    </row>
    <row r="89" spans="1:20">
      <c r="A89" s="182">
        <v>44642</v>
      </c>
      <c r="B89" s="183">
        <v>0.53328703703703706</v>
      </c>
      <c r="C89" s="184" t="s">
        <v>67</v>
      </c>
      <c r="D89" s="184" t="s">
        <v>68</v>
      </c>
      <c r="E89" s="184" t="s">
        <v>69</v>
      </c>
      <c r="F89" s="182">
        <v>44676</v>
      </c>
      <c r="G89" s="186" t="s">
        <v>94</v>
      </c>
      <c r="H89" s="184" t="s">
        <v>273</v>
      </c>
      <c r="T89" s="184" t="s">
        <v>773</v>
      </c>
    </row>
    <row r="90" spans="1:20">
      <c r="A90" s="182">
        <v>44642</v>
      </c>
      <c r="B90" s="183">
        <v>0.54387731481481483</v>
      </c>
      <c r="C90" s="184" t="s">
        <v>67</v>
      </c>
      <c r="D90" s="184" t="s">
        <v>68</v>
      </c>
      <c r="E90" s="184" t="s">
        <v>85</v>
      </c>
      <c r="F90" s="182">
        <v>44708</v>
      </c>
      <c r="G90" s="186" t="s">
        <v>94</v>
      </c>
      <c r="H90" s="184" t="s">
        <v>101</v>
      </c>
      <c r="T90" s="184" t="s">
        <v>774</v>
      </c>
    </row>
    <row r="91" spans="1:20">
      <c r="A91" s="182">
        <v>44642</v>
      </c>
      <c r="B91" s="183">
        <v>0.54434027777777783</v>
      </c>
      <c r="C91" s="184" t="s">
        <v>67</v>
      </c>
      <c r="D91" s="184" t="s">
        <v>68</v>
      </c>
      <c r="E91" s="184" t="s">
        <v>89</v>
      </c>
      <c r="F91" s="182">
        <v>44743</v>
      </c>
      <c r="G91" s="186" t="s">
        <v>94</v>
      </c>
      <c r="H91" s="184" t="s">
        <v>101</v>
      </c>
      <c r="T91" s="184" t="s">
        <v>774</v>
      </c>
    </row>
    <row r="92" spans="1:20">
      <c r="A92" s="182">
        <v>44642</v>
      </c>
      <c r="B92" s="183">
        <v>0.68304398148148149</v>
      </c>
      <c r="C92" s="184" t="s">
        <v>67</v>
      </c>
      <c r="D92" s="184" t="s">
        <v>78</v>
      </c>
      <c r="E92" s="184" t="s">
        <v>45</v>
      </c>
      <c r="F92" s="182">
        <v>44715</v>
      </c>
      <c r="G92" s="186" t="s">
        <v>94</v>
      </c>
      <c r="H92" s="184" t="s">
        <v>288</v>
      </c>
    </row>
    <row r="93" spans="1:20">
      <c r="A93" s="182">
        <v>44642</v>
      </c>
      <c r="B93" s="183">
        <v>0.68325231481481474</v>
      </c>
      <c r="C93" s="184" t="s">
        <v>67</v>
      </c>
      <c r="D93" s="184" t="s">
        <v>78</v>
      </c>
      <c r="E93" s="184" t="s">
        <v>19</v>
      </c>
      <c r="F93" s="182">
        <v>44742</v>
      </c>
      <c r="G93" s="186" t="s">
        <v>94</v>
      </c>
      <c r="H93" s="184" t="s">
        <v>288</v>
      </c>
    </row>
    <row r="94" spans="1:20">
      <c r="A94" s="182">
        <v>44643</v>
      </c>
      <c r="B94" s="183">
        <v>0.3891087962962963</v>
      </c>
      <c r="C94" s="184" t="s">
        <v>73</v>
      </c>
      <c r="D94" s="184" t="s">
        <v>68</v>
      </c>
      <c r="E94" s="184" t="s">
        <v>69</v>
      </c>
      <c r="F94" s="182">
        <v>44676</v>
      </c>
      <c r="G94" s="186" t="s">
        <v>112</v>
      </c>
      <c r="H94" s="184" t="s">
        <v>256</v>
      </c>
      <c r="T94" s="184" t="s">
        <v>397</v>
      </c>
    </row>
    <row r="95" spans="1:20">
      <c r="A95" s="182">
        <v>44643</v>
      </c>
      <c r="B95" s="183">
        <v>0.4528240740740741</v>
      </c>
      <c r="C95" s="184" t="s">
        <v>73</v>
      </c>
      <c r="D95" s="184" t="s">
        <v>68</v>
      </c>
      <c r="E95" s="184" t="s">
        <v>19</v>
      </c>
      <c r="F95" s="182">
        <v>44665</v>
      </c>
      <c r="G95" s="186" t="s">
        <v>112</v>
      </c>
      <c r="H95" s="184" t="s">
        <v>272</v>
      </c>
      <c r="T95" s="184" t="s">
        <v>152</v>
      </c>
    </row>
    <row r="96" spans="1:20">
      <c r="A96" s="182">
        <v>44643</v>
      </c>
      <c r="B96" s="183">
        <v>0.45375000000000004</v>
      </c>
      <c r="C96" s="184" t="s">
        <v>73</v>
      </c>
      <c r="D96" s="184" t="s">
        <v>68</v>
      </c>
      <c r="E96" s="184" t="s">
        <v>69</v>
      </c>
      <c r="F96" s="182">
        <v>44676</v>
      </c>
      <c r="G96" s="186" t="s">
        <v>114</v>
      </c>
      <c r="H96" s="184" t="s">
        <v>322</v>
      </c>
      <c r="T96" s="184" t="s">
        <v>152</v>
      </c>
    </row>
    <row r="97" spans="1:20">
      <c r="A97" s="182">
        <v>44643</v>
      </c>
      <c r="B97" s="183">
        <v>0.48549768518518516</v>
      </c>
      <c r="C97" s="184" t="s">
        <v>73</v>
      </c>
      <c r="D97" s="184" t="s">
        <v>68</v>
      </c>
      <c r="E97" s="184" t="s">
        <v>19</v>
      </c>
      <c r="F97" s="182">
        <v>44742</v>
      </c>
      <c r="G97" s="186" t="s">
        <v>99</v>
      </c>
      <c r="H97" s="184" t="s">
        <v>76</v>
      </c>
      <c r="T97" s="184" t="s">
        <v>775</v>
      </c>
    </row>
    <row r="98" spans="1:20">
      <c r="A98" s="182">
        <v>44643</v>
      </c>
      <c r="B98" s="183">
        <v>0.4863425925925926</v>
      </c>
      <c r="C98" s="184" t="s">
        <v>73</v>
      </c>
      <c r="D98" s="184" t="s">
        <v>68</v>
      </c>
      <c r="E98" s="184" t="s">
        <v>124</v>
      </c>
      <c r="F98" s="182">
        <v>44764</v>
      </c>
      <c r="G98" s="186" t="s">
        <v>99</v>
      </c>
      <c r="H98" s="184" t="s">
        <v>71</v>
      </c>
      <c r="T98" s="184" t="s">
        <v>286</v>
      </c>
    </row>
    <row r="99" spans="1:20">
      <c r="A99" s="182">
        <v>44643</v>
      </c>
      <c r="B99" s="183">
        <v>0.49346064814814811</v>
      </c>
      <c r="C99" s="184" t="s">
        <v>73</v>
      </c>
      <c r="D99" s="184" t="s">
        <v>68</v>
      </c>
      <c r="E99" s="184" t="s">
        <v>69</v>
      </c>
      <c r="F99" s="182">
        <v>44676</v>
      </c>
      <c r="G99" s="186" t="s">
        <v>94</v>
      </c>
      <c r="H99" s="184" t="s">
        <v>185</v>
      </c>
      <c r="T99" s="184" t="s">
        <v>234</v>
      </c>
    </row>
    <row r="100" spans="1:20">
      <c r="A100" s="182">
        <v>44643</v>
      </c>
      <c r="B100" s="183">
        <v>0.49473379629629632</v>
      </c>
      <c r="C100" s="184" t="s">
        <v>73</v>
      </c>
      <c r="D100" s="184" t="s">
        <v>68</v>
      </c>
      <c r="E100" s="184" t="s">
        <v>69</v>
      </c>
      <c r="F100" s="182">
        <v>44676</v>
      </c>
      <c r="G100" s="186" t="s">
        <v>114</v>
      </c>
      <c r="H100" s="184" t="s">
        <v>190</v>
      </c>
      <c r="T100" s="184" t="s">
        <v>397</v>
      </c>
    </row>
    <row r="101" spans="1:20">
      <c r="A101" s="182">
        <v>44644</v>
      </c>
      <c r="B101" s="183">
        <v>0.46005787037037038</v>
      </c>
      <c r="C101" s="184" t="s">
        <v>67</v>
      </c>
      <c r="D101" s="184" t="s">
        <v>68</v>
      </c>
      <c r="E101" s="184" t="s">
        <v>19</v>
      </c>
      <c r="F101" s="182">
        <v>44665</v>
      </c>
      <c r="G101" s="186" t="s">
        <v>94</v>
      </c>
      <c r="H101" s="184" t="s">
        <v>213</v>
      </c>
      <c r="T101" s="184" t="s">
        <v>776</v>
      </c>
    </row>
    <row r="102" spans="1:20">
      <c r="A102" s="182">
        <v>44644</v>
      </c>
      <c r="B102" s="183">
        <v>0.46049768518518519</v>
      </c>
      <c r="C102" s="184" t="s">
        <v>67</v>
      </c>
      <c r="D102" s="184" t="s">
        <v>68</v>
      </c>
      <c r="E102" s="184" t="s">
        <v>69</v>
      </c>
      <c r="F102" s="182">
        <v>44676</v>
      </c>
      <c r="G102" s="186" t="s">
        <v>112</v>
      </c>
      <c r="H102" s="184" t="s">
        <v>272</v>
      </c>
      <c r="T102" s="184" t="s">
        <v>776</v>
      </c>
    </row>
    <row r="103" spans="1:20">
      <c r="A103" s="182">
        <v>44644</v>
      </c>
      <c r="B103" s="183">
        <v>0.46184027777777775</v>
      </c>
      <c r="C103" s="184" t="s">
        <v>67</v>
      </c>
      <c r="D103" s="184" t="s">
        <v>78</v>
      </c>
      <c r="E103" s="184" t="s">
        <v>45</v>
      </c>
      <c r="F103" s="182">
        <v>44674</v>
      </c>
      <c r="G103" s="186" t="s">
        <v>94</v>
      </c>
      <c r="H103" s="184" t="s">
        <v>267</v>
      </c>
    </row>
    <row r="104" spans="1:20">
      <c r="A104" s="182">
        <v>44644</v>
      </c>
      <c r="B104" s="183">
        <v>0.46204861111111112</v>
      </c>
      <c r="C104" s="184" t="s">
        <v>67</v>
      </c>
      <c r="D104" s="184" t="s">
        <v>78</v>
      </c>
      <c r="E104" s="184" t="s">
        <v>45</v>
      </c>
      <c r="F104" s="182">
        <v>44674</v>
      </c>
      <c r="G104" s="186" t="s">
        <v>94</v>
      </c>
      <c r="H104" s="184" t="s">
        <v>327</v>
      </c>
    </row>
    <row r="105" spans="1:20">
      <c r="A105" s="182">
        <v>44644</v>
      </c>
      <c r="B105" s="183">
        <v>0.4748148148148148</v>
      </c>
      <c r="C105" s="184" t="s">
        <v>67</v>
      </c>
      <c r="D105" s="184" t="s">
        <v>91</v>
      </c>
      <c r="E105" s="184" t="s">
        <v>96</v>
      </c>
      <c r="F105" s="182">
        <v>44709</v>
      </c>
      <c r="G105" s="186" t="s">
        <v>94</v>
      </c>
      <c r="H105" s="184" t="s">
        <v>777</v>
      </c>
    </row>
    <row r="106" spans="1:20">
      <c r="A106" s="182">
        <v>44644</v>
      </c>
      <c r="B106" s="183">
        <v>0.56442129629629634</v>
      </c>
      <c r="C106" s="184" t="s">
        <v>67</v>
      </c>
      <c r="D106" s="184" t="s">
        <v>68</v>
      </c>
      <c r="E106" s="184" t="s">
        <v>89</v>
      </c>
      <c r="F106" s="182">
        <v>44743</v>
      </c>
      <c r="G106" s="186" t="s">
        <v>94</v>
      </c>
      <c r="H106" s="184" t="s">
        <v>103</v>
      </c>
      <c r="T106" s="184" t="s">
        <v>778</v>
      </c>
    </row>
    <row r="107" spans="1:20">
      <c r="A107" s="182">
        <v>44644</v>
      </c>
      <c r="B107" s="183">
        <v>0.63517361111111115</v>
      </c>
      <c r="C107" s="184" t="s">
        <v>67</v>
      </c>
      <c r="D107" s="184" t="s">
        <v>68</v>
      </c>
      <c r="E107" s="184" t="s">
        <v>95</v>
      </c>
      <c r="F107" s="182">
        <v>44697</v>
      </c>
      <c r="G107" s="186" t="s">
        <v>99</v>
      </c>
      <c r="H107" s="184" t="s">
        <v>87</v>
      </c>
      <c r="T107" s="184" t="s">
        <v>747</v>
      </c>
    </row>
    <row r="108" spans="1:20">
      <c r="A108" s="182">
        <v>44644</v>
      </c>
      <c r="B108" s="183">
        <v>0.64140046296296294</v>
      </c>
      <c r="C108" s="184" t="s">
        <v>594</v>
      </c>
      <c r="D108" s="184" t="s">
        <v>595</v>
      </c>
      <c r="E108" s="184" t="s">
        <v>779</v>
      </c>
      <c r="F108" s="182">
        <v>44697</v>
      </c>
      <c r="G108" s="186" t="s">
        <v>780</v>
      </c>
      <c r="H108" s="184" t="s">
        <v>781</v>
      </c>
      <c r="T108" s="184" t="s">
        <v>782</v>
      </c>
    </row>
    <row r="109" spans="1:20">
      <c r="A109" s="182">
        <v>44644</v>
      </c>
      <c r="B109" s="183">
        <v>0.65629629629629627</v>
      </c>
      <c r="C109" s="184" t="s">
        <v>67</v>
      </c>
      <c r="D109" s="184" t="s">
        <v>68</v>
      </c>
      <c r="E109" s="184" t="s">
        <v>85</v>
      </c>
      <c r="F109" s="182">
        <v>44708</v>
      </c>
      <c r="G109" s="186" t="s">
        <v>99</v>
      </c>
      <c r="H109" s="184" t="s">
        <v>87</v>
      </c>
      <c r="T109" s="184" t="s">
        <v>783</v>
      </c>
    </row>
    <row r="110" spans="1:20">
      <c r="A110" s="182">
        <v>44644</v>
      </c>
      <c r="B110" s="183">
        <v>0.66223379629629631</v>
      </c>
      <c r="C110" s="184" t="s">
        <v>67</v>
      </c>
      <c r="D110" s="184" t="s">
        <v>68</v>
      </c>
      <c r="E110" s="184" t="s">
        <v>19</v>
      </c>
      <c r="F110" s="182">
        <v>44665</v>
      </c>
      <c r="G110" s="186" t="s">
        <v>94</v>
      </c>
      <c r="H110" s="184" t="s">
        <v>225</v>
      </c>
      <c r="T110" s="184" t="s">
        <v>234</v>
      </c>
    </row>
    <row r="111" spans="1:20">
      <c r="A111" s="182">
        <v>44645</v>
      </c>
      <c r="B111" s="183">
        <v>0.62200231481481483</v>
      </c>
      <c r="C111" s="184" t="s">
        <v>73</v>
      </c>
      <c r="D111" s="184" t="s">
        <v>68</v>
      </c>
      <c r="E111" s="184" t="s">
        <v>95</v>
      </c>
      <c r="F111" s="182">
        <v>44697</v>
      </c>
      <c r="G111" s="186" t="s">
        <v>94</v>
      </c>
      <c r="H111" s="184" t="s">
        <v>87</v>
      </c>
      <c r="T111" s="184" t="s">
        <v>358</v>
      </c>
    </row>
    <row r="112" spans="1:20">
      <c r="A112" s="182">
        <v>44645</v>
      </c>
      <c r="B112" s="183">
        <v>0.63459490740740743</v>
      </c>
      <c r="C112" s="184" t="s">
        <v>67</v>
      </c>
      <c r="D112" s="184" t="s">
        <v>78</v>
      </c>
      <c r="E112" s="184" t="s">
        <v>69</v>
      </c>
      <c r="F112" s="182">
        <v>44676</v>
      </c>
      <c r="G112" s="186" t="s">
        <v>94</v>
      </c>
      <c r="H112" s="184" t="s">
        <v>82</v>
      </c>
    </row>
    <row r="113" spans="1:20">
      <c r="A113" s="182">
        <v>44648</v>
      </c>
      <c r="B113" s="183">
        <v>0.65818287037037038</v>
      </c>
      <c r="C113" s="184" t="s">
        <v>67</v>
      </c>
      <c r="D113" s="184" t="s">
        <v>68</v>
      </c>
      <c r="E113" s="184" t="s">
        <v>96</v>
      </c>
      <c r="F113" s="182">
        <v>44709</v>
      </c>
      <c r="G113" s="186" t="s">
        <v>94</v>
      </c>
      <c r="H113" s="184" t="s">
        <v>259</v>
      </c>
      <c r="T113" s="184" t="s">
        <v>784</v>
      </c>
    </row>
    <row r="114" spans="1:20">
      <c r="A114" s="182">
        <v>44649</v>
      </c>
      <c r="B114" s="183">
        <v>0.39278935185185188</v>
      </c>
      <c r="C114" s="184" t="s">
        <v>73</v>
      </c>
      <c r="D114" s="184" t="s">
        <v>68</v>
      </c>
      <c r="E114" s="184" t="s">
        <v>69</v>
      </c>
      <c r="F114" s="182">
        <v>44676</v>
      </c>
      <c r="G114" s="186" t="s">
        <v>114</v>
      </c>
      <c r="H114" s="184" t="s">
        <v>225</v>
      </c>
      <c r="T114" s="184" t="s">
        <v>456</v>
      </c>
    </row>
    <row r="115" spans="1:20">
      <c r="A115" s="182">
        <v>44649</v>
      </c>
      <c r="B115" s="183">
        <v>0.45959490740740744</v>
      </c>
      <c r="C115" s="184" t="s">
        <v>73</v>
      </c>
      <c r="D115" s="184" t="s">
        <v>78</v>
      </c>
      <c r="E115" s="184" t="s">
        <v>69</v>
      </c>
      <c r="F115" s="182">
        <v>44676</v>
      </c>
      <c r="G115" s="186" t="s">
        <v>114</v>
      </c>
      <c r="H115" s="184" t="s">
        <v>98</v>
      </c>
    </row>
    <row r="116" spans="1:20">
      <c r="A116" s="182">
        <v>44649</v>
      </c>
      <c r="B116" s="183">
        <v>0.61028935185185185</v>
      </c>
      <c r="C116" s="184" t="s">
        <v>67</v>
      </c>
      <c r="D116" s="184" t="s">
        <v>68</v>
      </c>
      <c r="E116" s="184" t="s">
        <v>19</v>
      </c>
      <c r="F116" s="182">
        <v>44665</v>
      </c>
      <c r="G116" s="186" t="s">
        <v>99</v>
      </c>
      <c r="H116" s="184" t="s">
        <v>213</v>
      </c>
      <c r="T116" s="184" t="s">
        <v>234</v>
      </c>
    </row>
    <row r="117" spans="1:20">
      <c r="A117" s="182">
        <v>44649</v>
      </c>
      <c r="B117" s="183">
        <v>0.61053240740740744</v>
      </c>
      <c r="C117" s="184" t="s">
        <v>67</v>
      </c>
      <c r="D117" s="184" t="s">
        <v>68</v>
      </c>
      <c r="E117" s="184" t="s">
        <v>19</v>
      </c>
      <c r="F117" s="182">
        <v>44665</v>
      </c>
      <c r="G117" s="186" t="s">
        <v>94</v>
      </c>
      <c r="H117" s="184" t="s">
        <v>225</v>
      </c>
      <c r="T117" s="184" t="s">
        <v>234</v>
      </c>
    </row>
    <row r="118" spans="1:20">
      <c r="A118" s="182">
        <v>44650</v>
      </c>
      <c r="B118" s="183">
        <v>0.40608796296296296</v>
      </c>
      <c r="C118" s="184" t="s">
        <v>73</v>
      </c>
      <c r="D118" s="184" t="s">
        <v>91</v>
      </c>
      <c r="E118" s="184" t="s">
        <v>69</v>
      </c>
      <c r="F118" s="182">
        <v>44676</v>
      </c>
      <c r="G118" s="186" t="s">
        <v>112</v>
      </c>
      <c r="H118" s="184" t="s">
        <v>120</v>
      </c>
    </row>
    <row r="119" spans="1:20">
      <c r="A119" s="182">
        <v>44650</v>
      </c>
      <c r="B119" s="183">
        <v>0.56344907407407407</v>
      </c>
      <c r="C119" s="184" t="s">
        <v>67</v>
      </c>
      <c r="D119" s="184" t="s">
        <v>68</v>
      </c>
      <c r="E119" s="184" t="s">
        <v>19</v>
      </c>
      <c r="F119" s="182">
        <v>44665</v>
      </c>
      <c r="G119" s="186" t="s">
        <v>99</v>
      </c>
      <c r="H119" s="184" t="s">
        <v>213</v>
      </c>
      <c r="T119" s="184" t="s">
        <v>785</v>
      </c>
    </row>
    <row r="120" spans="1:20">
      <c r="A120" s="182">
        <v>44651</v>
      </c>
      <c r="B120" s="183">
        <v>0.38005787037037037</v>
      </c>
      <c r="C120" s="184" t="s">
        <v>67</v>
      </c>
      <c r="D120" s="184" t="s">
        <v>68</v>
      </c>
      <c r="E120" s="184" t="s">
        <v>19</v>
      </c>
      <c r="F120" s="182">
        <v>44665</v>
      </c>
      <c r="G120" s="186" t="s">
        <v>99</v>
      </c>
      <c r="H120" s="184" t="s">
        <v>272</v>
      </c>
      <c r="T120" s="184" t="s">
        <v>786</v>
      </c>
    </row>
    <row r="121" spans="1:20">
      <c r="A121" s="182">
        <v>44651</v>
      </c>
      <c r="B121" s="183">
        <v>0.47417824074074072</v>
      </c>
      <c r="C121" s="184" t="s">
        <v>67</v>
      </c>
      <c r="D121" s="184" t="s">
        <v>91</v>
      </c>
      <c r="E121" s="184" t="s">
        <v>45</v>
      </c>
      <c r="F121" s="182">
        <v>44674</v>
      </c>
      <c r="G121" s="186" t="s">
        <v>70</v>
      </c>
      <c r="H121" s="184" t="s">
        <v>93</v>
      </c>
    </row>
    <row r="122" spans="1:20">
      <c r="A122" s="182">
        <v>44651</v>
      </c>
      <c r="B122" s="183">
        <v>0.71053240740740742</v>
      </c>
      <c r="C122" s="184" t="s">
        <v>67</v>
      </c>
      <c r="D122" s="184" t="s">
        <v>78</v>
      </c>
      <c r="E122" s="184" t="s">
        <v>19</v>
      </c>
      <c r="F122" s="182">
        <v>44665</v>
      </c>
      <c r="G122" s="186" t="s">
        <v>94</v>
      </c>
      <c r="H122" s="184" t="s">
        <v>82</v>
      </c>
    </row>
    <row r="123" spans="1:20">
      <c r="A123" s="182">
        <v>44652</v>
      </c>
      <c r="B123" s="183">
        <v>0.62113425925925925</v>
      </c>
      <c r="C123" s="184" t="s">
        <v>67</v>
      </c>
      <c r="D123" s="184" t="s">
        <v>68</v>
      </c>
      <c r="E123" s="184" t="s">
        <v>95</v>
      </c>
      <c r="F123" s="182">
        <v>44697</v>
      </c>
      <c r="G123" s="186" t="s">
        <v>94</v>
      </c>
      <c r="H123" s="184" t="s">
        <v>101</v>
      </c>
      <c r="T123" s="184" t="s">
        <v>485</v>
      </c>
    </row>
    <row r="124" spans="1:20">
      <c r="A124" s="182">
        <v>44655</v>
      </c>
      <c r="B124" s="183">
        <v>0.37275462962962963</v>
      </c>
      <c r="C124" s="184" t="s">
        <v>67</v>
      </c>
      <c r="D124" s="184" t="s">
        <v>78</v>
      </c>
      <c r="E124" s="184" t="s">
        <v>45</v>
      </c>
      <c r="F124" s="182">
        <v>44674</v>
      </c>
      <c r="G124" s="186" t="s">
        <v>112</v>
      </c>
      <c r="H124" s="184" t="s">
        <v>98</v>
      </c>
    </row>
    <row r="125" spans="1:20">
      <c r="A125" s="182">
        <v>44655</v>
      </c>
      <c r="B125" s="183">
        <v>0.46454861111111106</v>
      </c>
      <c r="C125" s="184" t="s">
        <v>67</v>
      </c>
      <c r="D125" s="184" t="s">
        <v>91</v>
      </c>
      <c r="E125" s="184" t="s">
        <v>95</v>
      </c>
      <c r="F125" s="182">
        <v>44697</v>
      </c>
      <c r="G125" s="186" t="s">
        <v>75</v>
      </c>
      <c r="H125" s="184" t="s">
        <v>92</v>
      </c>
    </row>
    <row r="126" spans="1:20">
      <c r="A126" s="182">
        <v>44655</v>
      </c>
      <c r="B126" s="183">
        <v>0.47046296296296292</v>
      </c>
      <c r="C126" s="184" t="s">
        <v>67</v>
      </c>
      <c r="D126" s="184" t="s">
        <v>68</v>
      </c>
      <c r="E126" s="184" t="s">
        <v>95</v>
      </c>
      <c r="F126" s="182">
        <v>44697</v>
      </c>
      <c r="G126" s="186" t="s">
        <v>94</v>
      </c>
      <c r="H126" s="184" t="s">
        <v>103</v>
      </c>
      <c r="T126" s="184" t="s">
        <v>776</v>
      </c>
    </row>
    <row r="127" spans="1:20">
      <c r="A127" s="182">
        <v>44655</v>
      </c>
      <c r="B127" s="183">
        <v>0.50497685185185182</v>
      </c>
      <c r="C127" s="184" t="s">
        <v>67</v>
      </c>
      <c r="D127" s="184" t="s">
        <v>68</v>
      </c>
      <c r="E127" s="184" t="s">
        <v>19</v>
      </c>
      <c r="F127" s="182">
        <v>44665</v>
      </c>
      <c r="G127" s="186" t="s">
        <v>94</v>
      </c>
      <c r="H127" s="184" t="s">
        <v>213</v>
      </c>
      <c r="T127" s="184" t="s">
        <v>161</v>
      </c>
    </row>
    <row r="128" spans="1:20">
      <c r="A128" s="182">
        <v>44655</v>
      </c>
      <c r="B128" s="183">
        <v>0.50685185185185189</v>
      </c>
      <c r="C128" s="184" t="s">
        <v>67</v>
      </c>
      <c r="D128" s="184" t="s">
        <v>68</v>
      </c>
      <c r="E128" s="184" t="s">
        <v>69</v>
      </c>
      <c r="F128" s="182">
        <v>44676</v>
      </c>
      <c r="G128" s="186" t="s">
        <v>94</v>
      </c>
      <c r="H128" s="184" t="s">
        <v>231</v>
      </c>
      <c r="T128" s="184" t="s">
        <v>161</v>
      </c>
    </row>
    <row r="129" spans="1:20">
      <c r="A129" s="182">
        <v>44655</v>
      </c>
      <c r="B129" s="183">
        <v>0.50731481481481489</v>
      </c>
      <c r="C129" s="184" t="s">
        <v>67</v>
      </c>
      <c r="D129" s="184" t="s">
        <v>68</v>
      </c>
      <c r="E129" s="184" t="s">
        <v>95</v>
      </c>
      <c r="F129" s="182">
        <v>44697</v>
      </c>
      <c r="G129" s="186" t="s">
        <v>94</v>
      </c>
      <c r="H129" s="184" t="s">
        <v>182</v>
      </c>
      <c r="T129" s="184" t="s">
        <v>161</v>
      </c>
    </row>
    <row r="130" spans="1:20">
      <c r="A130" s="182">
        <v>44655</v>
      </c>
      <c r="B130" s="183">
        <v>0.50828703703703704</v>
      </c>
      <c r="C130" s="184" t="s">
        <v>67</v>
      </c>
      <c r="D130" s="184" t="s">
        <v>68</v>
      </c>
      <c r="E130" s="184" t="s">
        <v>96</v>
      </c>
      <c r="F130" s="182">
        <v>44754</v>
      </c>
      <c r="G130" s="186" t="s">
        <v>70</v>
      </c>
      <c r="H130" s="184" t="s">
        <v>71</v>
      </c>
      <c r="T130" s="184" t="s">
        <v>161</v>
      </c>
    </row>
    <row r="131" spans="1:20">
      <c r="A131" s="182">
        <v>44655</v>
      </c>
      <c r="B131" s="183">
        <v>0.66675925925925927</v>
      </c>
      <c r="C131" s="184" t="s">
        <v>67</v>
      </c>
      <c r="D131" s="184" t="s">
        <v>91</v>
      </c>
      <c r="E131" s="184" t="s">
        <v>69</v>
      </c>
      <c r="F131" s="182">
        <v>44676</v>
      </c>
      <c r="G131" s="186" t="s">
        <v>94</v>
      </c>
      <c r="H131" s="184" t="s">
        <v>229</v>
      </c>
    </row>
    <row r="132" spans="1:20">
      <c r="A132" s="182">
        <v>44655</v>
      </c>
      <c r="B132" s="183">
        <v>0.68034722222222221</v>
      </c>
      <c r="C132" s="184" t="s">
        <v>67</v>
      </c>
      <c r="D132" s="184" t="s">
        <v>68</v>
      </c>
      <c r="E132" s="184" t="s">
        <v>69</v>
      </c>
      <c r="F132" s="182">
        <v>44676</v>
      </c>
      <c r="G132" s="186" t="s">
        <v>94</v>
      </c>
      <c r="H132" s="184" t="s">
        <v>239</v>
      </c>
      <c r="T132" s="184" t="s">
        <v>787</v>
      </c>
    </row>
    <row r="133" spans="1:20">
      <c r="A133" s="182">
        <v>44657</v>
      </c>
      <c r="B133" s="183">
        <v>0.43754629629629632</v>
      </c>
      <c r="C133" s="184" t="s">
        <v>73</v>
      </c>
      <c r="D133" s="184" t="s">
        <v>78</v>
      </c>
      <c r="E133" s="184" t="s">
        <v>96</v>
      </c>
      <c r="F133" s="182">
        <v>44754</v>
      </c>
      <c r="G133" s="186" t="s">
        <v>112</v>
      </c>
      <c r="H133" s="184" t="s">
        <v>265</v>
      </c>
    </row>
    <row r="134" spans="1:20">
      <c r="A134" s="182">
        <v>44657</v>
      </c>
      <c r="B134" s="183">
        <v>0.71201388888888895</v>
      </c>
      <c r="C134" s="184" t="s">
        <v>73</v>
      </c>
      <c r="D134" s="184" t="s">
        <v>68</v>
      </c>
      <c r="E134" s="184" t="s">
        <v>69</v>
      </c>
      <c r="F134" s="182">
        <v>44676</v>
      </c>
      <c r="G134" s="186" t="s">
        <v>94</v>
      </c>
      <c r="H134" s="184" t="s">
        <v>241</v>
      </c>
      <c r="T134" s="184" t="s">
        <v>397</v>
      </c>
    </row>
    <row r="135" spans="1:20">
      <c r="A135" s="182">
        <v>44658</v>
      </c>
      <c r="B135" s="183">
        <v>0.40848379629629633</v>
      </c>
      <c r="C135" s="184" t="s">
        <v>67</v>
      </c>
      <c r="D135" s="184" t="s">
        <v>78</v>
      </c>
      <c r="E135" s="184" t="s">
        <v>69</v>
      </c>
      <c r="F135" s="182">
        <v>44676</v>
      </c>
      <c r="G135" s="186" t="s">
        <v>94</v>
      </c>
      <c r="H135" s="184" t="s">
        <v>116</v>
      </c>
    </row>
    <row r="136" spans="1:20">
      <c r="A136" s="182">
        <v>44658</v>
      </c>
      <c r="B136" s="183">
        <v>0.4760416666666667</v>
      </c>
      <c r="C136" s="184" t="s">
        <v>67</v>
      </c>
      <c r="D136" s="184" t="s">
        <v>91</v>
      </c>
      <c r="E136" s="184" t="s">
        <v>96</v>
      </c>
      <c r="F136" s="182">
        <v>44709</v>
      </c>
      <c r="G136" s="186" t="s">
        <v>94</v>
      </c>
      <c r="H136" s="184" t="s">
        <v>788</v>
      </c>
    </row>
    <row r="137" spans="1:20">
      <c r="A137" s="182">
        <v>44658</v>
      </c>
      <c r="B137" s="183">
        <v>0.47662037037037036</v>
      </c>
      <c r="C137" s="184" t="s">
        <v>67</v>
      </c>
      <c r="D137" s="184" t="s">
        <v>78</v>
      </c>
      <c r="E137" s="184" t="s">
        <v>45</v>
      </c>
      <c r="F137" s="182">
        <v>44715</v>
      </c>
      <c r="G137" s="186" t="s">
        <v>94</v>
      </c>
      <c r="H137" s="184" t="s">
        <v>267</v>
      </c>
    </row>
    <row r="138" spans="1:20">
      <c r="A138" s="182">
        <v>44659</v>
      </c>
      <c r="B138" s="183">
        <v>0.40989583333333335</v>
      </c>
      <c r="C138" s="184" t="s">
        <v>73</v>
      </c>
      <c r="D138" s="184" t="s">
        <v>68</v>
      </c>
      <c r="E138" s="184" t="s">
        <v>95</v>
      </c>
      <c r="F138" s="182">
        <v>44697</v>
      </c>
      <c r="G138" s="186" t="s">
        <v>94</v>
      </c>
      <c r="H138" s="184" t="s">
        <v>117</v>
      </c>
      <c r="T138" s="184" t="s">
        <v>257</v>
      </c>
    </row>
    <row r="139" spans="1:20">
      <c r="A139" s="182">
        <v>44659</v>
      </c>
      <c r="B139" s="183">
        <v>0.44344907407407402</v>
      </c>
      <c r="C139" s="184" t="s">
        <v>73</v>
      </c>
      <c r="D139" s="184" t="s">
        <v>78</v>
      </c>
      <c r="E139" s="184" t="s">
        <v>69</v>
      </c>
      <c r="F139" s="182">
        <v>44697</v>
      </c>
      <c r="G139" s="186" t="s">
        <v>112</v>
      </c>
      <c r="H139" s="184" t="s">
        <v>113</v>
      </c>
    </row>
    <row r="140" spans="1:20">
      <c r="A140" s="182">
        <v>44659</v>
      </c>
      <c r="B140" s="183">
        <v>0.44599537037037035</v>
      </c>
      <c r="C140" s="184" t="s">
        <v>73</v>
      </c>
      <c r="D140" s="184" t="s">
        <v>68</v>
      </c>
      <c r="E140" s="184" t="s">
        <v>69</v>
      </c>
      <c r="F140" s="182">
        <v>44676</v>
      </c>
      <c r="G140" s="186" t="s">
        <v>460</v>
      </c>
      <c r="H140" s="184" t="s">
        <v>201</v>
      </c>
      <c r="T140" s="184" t="s">
        <v>789</v>
      </c>
    </row>
    <row r="141" spans="1:20">
      <c r="A141" s="182">
        <v>44659</v>
      </c>
      <c r="B141" s="183">
        <v>0.48531250000000004</v>
      </c>
      <c r="C141" s="184" t="s">
        <v>67</v>
      </c>
      <c r="D141" s="184" t="s">
        <v>78</v>
      </c>
      <c r="E141" s="184" t="s">
        <v>45</v>
      </c>
      <c r="F141" s="182">
        <v>44715</v>
      </c>
      <c r="G141" s="186" t="s">
        <v>94</v>
      </c>
      <c r="H141" s="184" t="s">
        <v>327</v>
      </c>
    </row>
    <row r="142" spans="1:20">
      <c r="A142" s="182">
        <v>44659</v>
      </c>
      <c r="B142" s="183">
        <v>0.5467129629629629</v>
      </c>
      <c r="C142" s="184" t="s">
        <v>73</v>
      </c>
      <c r="D142" s="184" t="s">
        <v>68</v>
      </c>
      <c r="E142" s="184" t="s">
        <v>45</v>
      </c>
      <c r="F142" s="182">
        <v>44715</v>
      </c>
      <c r="G142" s="186" t="s">
        <v>94</v>
      </c>
      <c r="H142" s="184" t="s">
        <v>71</v>
      </c>
      <c r="T142" s="184" t="s">
        <v>790</v>
      </c>
    </row>
    <row r="143" spans="1:20">
      <c r="A143" s="182">
        <v>44659</v>
      </c>
      <c r="B143" s="183">
        <v>0.57942129629629624</v>
      </c>
      <c r="C143" s="184" t="s">
        <v>67</v>
      </c>
      <c r="D143" s="184" t="s">
        <v>68</v>
      </c>
      <c r="E143" s="184" t="s">
        <v>124</v>
      </c>
      <c r="F143" s="182">
        <v>44764</v>
      </c>
      <c r="G143" s="186" t="s">
        <v>94</v>
      </c>
      <c r="H143" s="184" t="s">
        <v>76</v>
      </c>
      <c r="T143" s="184" t="s">
        <v>791</v>
      </c>
    </row>
    <row r="144" spans="1:20">
      <c r="A144" s="182">
        <v>44662</v>
      </c>
      <c r="B144" s="183">
        <v>0.5119097222222222</v>
      </c>
      <c r="C144" s="184" t="s">
        <v>73</v>
      </c>
      <c r="D144" s="184" t="s">
        <v>68</v>
      </c>
      <c r="E144" s="184" t="s">
        <v>69</v>
      </c>
      <c r="F144" s="182">
        <v>44676</v>
      </c>
      <c r="G144" s="186" t="s">
        <v>94</v>
      </c>
      <c r="H144" s="184" t="s">
        <v>202</v>
      </c>
      <c r="T144" s="184" t="s">
        <v>792</v>
      </c>
    </row>
    <row r="145" spans="1:20">
      <c r="A145" s="182">
        <v>44662</v>
      </c>
      <c r="B145" s="183">
        <v>0.60954861111111114</v>
      </c>
      <c r="C145" s="184" t="s">
        <v>67</v>
      </c>
      <c r="D145" s="184" t="s">
        <v>68</v>
      </c>
      <c r="E145" s="184" t="s">
        <v>85</v>
      </c>
      <c r="F145" s="182">
        <v>44708</v>
      </c>
      <c r="G145" s="186" t="s">
        <v>94</v>
      </c>
      <c r="H145" s="184" t="s">
        <v>101</v>
      </c>
      <c r="T145" s="184" t="s">
        <v>793</v>
      </c>
    </row>
    <row r="146" spans="1:20">
      <c r="A146" s="182">
        <v>44663</v>
      </c>
      <c r="B146" s="183">
        <v>0.43177083333333338</v>
      </c>
      <c r="C146" s="184" t="s">
        <v>67</v>
      </c>
      <c r="D146" s="184" t="s">
        <v>91</v>
      </c>
      <c r="E146" s="184" t="s">
        <v>96</v>
      </c>
      <c r="F146" s="182">
        <v>44709</v>
      </c>
      <c r="G146" s="186" t="s">
        <v>94</v>
      </c>
      <c r="H146" s="184" t="s">
        <v>794</v>
      </c>
    </row>
    <row r="147" spans="1:20">
      <c r="A147" s="182">
        <v>44663</v>
      </c>
      <c r="B147" s="183">
        <v>0.49078703703703702</v>
      </c>
      <c r="C147" s="184" t="s">
        <v>67</v>
      </c>
      <c r="D147" s="184" t="s">
        <v>68</v>
      </c>
      <c r="E147" s="184" t="s">
        <v>95</v>
      </c>
      <c r="F147" s="182">
        <v>44697</v>
      </c>
      <c r="G147" s="186" t="s">
        <v>114</v>
      </c>
      <c r="H147" s="184" t="s">
        <v>273</v>
      </c>
      <c r="T147" s="184" t="s">
        <v>675</v>
      </c>
    </row>
    <row r="148" spans="1:20">
      <c r="A148" s="182">
        <v>44663</v>
      </c>
      <c r="B148" s="183">
        <v>0.57799768518518524</v>
      </c>
      <c r="C148" s="184" t="s">
        <v>67</v>
      </c>
      <c r="D148" s="184" t="s">
        <v>78</v>
      </c>
      <c r="E148" s="184" t="s">
        <v>45</v>
      </c>
      <c r="F148" s="182">
        <v>44674</v>
      </c>
      <c r="G148" s="186" t="s">
        <v>114</v>
      </c>
      <c r="H148" s="184" t="s">
        <v>84</v>
      </c>
    </row>
    <row r="149" spans="1:20">
      <c r="A149" s="182">
        <v>44664</v>
      </c>
      <c r="B149" s="183">
        <v>0.47746527777777775</v>
      </c>
      <c r="C149" s="184" t="s">
        <v>67</v>
      </c>
      <c r="D149" s="184" t="s">
        <v>91</v>
      </c>
      <c r="E149" s="184" t="s">
        <v>96</v>
      </c>
      <c r="F149" s="182">
        <v>44709</v>
      </c>
      <c r="G149" s="186" t="s">
        <v>99</v>
      </c>
      <c r="H149" s="184" t="s">
        <v>788</v>
      </c>
    </row>
    <row r="150" spans="1:20">
      <c r="A150" s="182">
        <v>44664</v>
      </c>
      <c r="B150" s="183">
        <v>0.47756944444444444</v>
      </c>
      <c r="C150" s="184" t="s">
        <v>67</v>
      </c>
      <c r="D150" s="184" t="s">
        <v>91</v>
      </c>
      <c r="E150" s="184" t="s">
        <v>96</v>
      </c>
      <c r="F150" s="182">
        <v>44709</v>
      </c>
      <c r="G150" s="186" t="s">
        <v>94</v>
      </c>
      <c r="H150" s="184" t="s">
        <v>794</v>
      </c>
    </row>
    <row r="151" spans="1:20">
      <c r="A151" s="182">
        <v>44664</v>
      </c>
      <c r="B151" s="183">
        <v>0.51899305555555553</v>
      </c>
      <c r="C151" s="184" t="s">
        <v>67</v>
      </c>
      <c r="D151" s="184" t="s">
        <v>91</v>
      </c>
      <c r="E151" s="184" t="s">
        <v>96</v>
      </c>
      <c r="F151" s="182">
        <v>44709</v>
      </c>
      <c r="G151" s="186" t="s">
        <v>94</v>
      </c>
      <c r="H151" s="184" t="s">
        <v>795</v>
      </c>
    </row>
    <row r="152" spans="1:20">
      <c r="A152" s="182">
        <v>44664</v>
      </c>
      <c r="B152" s="183">
        <v>0.57953703703703707</v>
      </c>
      <c r="C152" s="184" t="s">
        <v>67</v>
      </c>
      <c r="D152" s="184" t="s">
        <v>68</v>
      </c>
      <c r="E152" s="184" t="s">
        <v>204</v>
      </c>
      <c r="F152" s="182">
        <v>44719</v>
      </c>
      <c r="G152" s="186" t="s">
        <v>94</v>
      </c>
      <c r="H152" s="184" t="s">
        <v>87</v>
      </c>
      <c r="T152" s="184" t="s">
        <v>796</v>
      </c>
    </row>
    <row r="153" spans="1:20">
      <c r="A153" s="182">
        <v>44664</v>
      </c>
      <c r="B153" s="183">
        <v>0.60715277777777776</v>
      </c>
      <c r="C153" s="184" t="s">
        <v>67</v>
      </c>
      <c r="D153" s="184" t="s">
        <v>68</v>
      </c>
      <c r="E153" s="184" t="s">
        <v>204</v>
      </c>
      <c r="F153" s="182">
        <v>44719</v>
      </c>
      <c r="G153" s="186" t="s">
        <v>70</v>
      </c>
      <c r="H153" s="184" t="s">
        <v>101</v>
      </c>
      <c r="T153" s="184" t="s">
        <v>776</v>
      </c>
    </row>
    <row r="154" spans="1:20">
      <c r="A154" s="182">
        <v>44664</v>
      </c>
      <c r="B154" s="183">
        <v>0.60748842592592589</v>
      </c>
      <c r="C154" s="184" t="s">
        <v>67</v>
      </c>
      <c r="D154" s="184" t="s">
        <v>68</v>
      </c>
      <c r="E154" s="184" t="s">
        <v>95</v>
      </c>
      <c r="F154" s="182">
        <v>44697</v>
      </c>
      <c r="G154" s="186" t="s">
        <v>94</v>
      </c>
      <c r="H154" s="184" t="s">
        <v>261</v>
      </c>
      <c r="T154" s="184" t="s">
        <v>776</v>
      </c>
    </row>
    <row r="155" spans="1:20">
      <c r="A155" s="182">
        <v>44664</v>
      </c>
      <c r="B155" s="183">
        <v>0.69304398148148139</v>
      </c>
      <c r="C155" s="184" t="s">
        <v>67</v>
      </c>
      <c r="D155" s="184" t="s">
        <v>68</v>
      </c>
      <c r="E155" s="184" t="s">
        <v>45</v>
      </c>
      <c r="F155" s="182">
        <v>44715</v>
      </c>
      <c r="G155" s="186" t="s">
        <v>94</v>
      </c>
      <c r="H155" s="184" t="s">
        <v>76</v>
      </c>
      <c r="T155" s="184" t="s">
        <v>234</v>
      </c>
    </row>
    <row r="156" spans="1:20">
      <c r="A156" s="182">
        <v>44664</v>
      </c>
      <c r="B156" s="183">
        <v>0.7023611111111111</v>
      </c>
      <c r="C156" s="184" t="s">
        <v>67</v>
      </c>
      <c r="D156" s="184" t="s">
        <v>159</v>
      </c>
      <c r="E156" s="184" t="s">
        <v>19</v>
      </c>
      <c r="F156" s="182">
        <v>44742</v>
      </c>
      <c r="G156" s="186" t="s">
        <v>70</v>
      </c>
      <c r="H156" s="184" t="s">
        <v>216</v>
      </c>
    </row>
    <row r="157" spans="1:20">
      <c r="A157" s="182">
        <v>44664</v>
      </c>
      <c r="B157" s="183">
        <v>0.70329861111111114</v>
      </c>
      <c r="C157" s="184" t="s">
        <v>67</v>
      </c>
      <c r="D157" s="184" t="s">
        <v>68</v>
      </c>
      <c r="E157" s="184" t="s">
        <v>69</v>
      </c>
      <c r="F157" s="182">
        <v>44729</v>
      </c>
      <c r="G157" s="186" t="s">
        <v>70</v>
      </c>
      <c r="H157" s="184" t="s">
        <v>71</v>
      </c>
      <c r="T157" s="184" t="s">
        <v>234</v>
      </c>
    </row>
    <row r="158" spans="1:20">
      <c r="A158" s="182">
        <v>44664</v>
      </c>
      <c r="B158" s="183">
        <v>0.70624999999999993</v>
      </c>
      <c r="C158" s="184" t="s">
        <v>67</v>
      </c>
      <c r="D158" s="184" t="s">
        <v>78</v>
      </c>
      <c r="E158" s="184" t="s">
        <v>89</v>
      </c>
      <c r="F158" s="182">
        <v>44743</v>
      </c>
      <c r="G158" s="186" t="s">
        <v>94</v>
      </c>
      <c r="H158" s="184" t="s">
        <v>107</v>
      </c>
    </row>
    <row r="159" spans="1:20">
      <c r="A159" s="182">
        <v>44664</v>
      </c>
      <c r="B159" s="183">
        <v>0.7069212962962963</v>
      </c>
      <c r="C159" s="184" t="s">
        <v>67</v>
      </c>
      <c r="D159" s="184" t="s">
        <v>91</v>
      </c>
      <c r="E159" s="184" t="s">
        <v>96</v>
      </c>
      <c r="F159" s="182">
        <v>44709</v>
      </c>
      <c r="G159" s="186" t="s">
        <v>94</v>
      </c>
      <c r="H159" s="184" t="s">
        <v>797</v>
      </c>
    </row>
    <row r="160" spans="1:20">
      <c r="A160" s="182">
        <v>44665</v>
      </c>
      <c r="B160" s="183">
        <v>0.39193287037037039</v>
      </c>
      <c r="C160" s="184" t="s">
        <v>67</v>
      </c>
      <c r="D160" s="184" t="s">
        <v>68</v>
      </c>
      <c r="E160" s="184" t="s">
        <v>19</v>
      </c>
      <c r="F160" s="182">
        <v>44742</v>
      </c>
      <c r="G160" s="186" t="s">
        <v>94</v>
      </c>
      <c r="H160" s="184" t="s">
        <v>87</v>
      </c>
      <c r="T160" s="184" t="s">
        <v>257</v>
      </c>
    </row>
    <row r="161" spans="1:20">
      <c r="A161" s="182">
        <v>44665</v>
      </c>
      <c r="B161" s="183">
        <v>0.39231481481481478</v>
      </c>
      <c r="C161" s="184" t="s">
        <v>67</v>
      </c>
      <c r="D161" s="184" t="s">
        <v>68</v>
      </c>
      <c r="E161" s="184" t="s">
        <v>45</v>
      </c>
      <c r="F161" s="182">
        <v>44715</v>
      </c>
      <c r="G161" s="186" t="s">
        <v>94</v>
      </c>
      <c r="H161" s="184" t="s">
        <v>87</v>
      </c>
      <c r="T161" s="184" t="s">
        <v>257</v>
      </c>
    </row>
    <row r="162" spans="1:20">
      <c r="A162" s="182">
        <v>44665</v>
      </c>
      <c r="B162" s="183">
        <v>0.42837962962962961</v>
      </c>
      <c r="C162" s="184" t="s">
        <v>73</v>
      </c>
      <c r="D162" s="184" t="s">
        <v>68</v>
      </c>
      <c r="E162" s="184" t="s">
        <v>95</v>
      </c>
      <c r="F162" s="182">
        <v>44697</v>
      </c>
      <c r="G162" s="186" t="s">
        <v>94</v>
      </c>
      <c r="H162" s="184" t="s">
        <v>260</v>
      </c>
      <c r="T162" s="184" t="s">
        <v>798</v>
      </c>
    </row>
    <row r="163" spans="1:20">
      <c r="A163" s="182">
        <v>44665</v>
      </c>
      <c r="B163" s="183">
        <v>0.61849537037037039</v>
      </c>
      <c r="C163" s="184" t="s">
        <v>67</v>
      </c>
      <c r="D163" s="184" t="s">
        <v>68</v>
      </c>
      <c r="E163" s="184" t="s">
        <v>19</v>
      </c>
      <c r="F163" s="182">
        <v>44742</v>
      </c>
      <c r="G163" s="186" t="s">
        <v>112</v>
      </c>
      <c r="H163" s="184" t="s">
        <v>182</v>
      </c>
      <c r="T163" s="184" t="s">
        <v>567</v>
      </c>
    </row>
    <row r="164" spans="1:20">
      <c r="A164" s="182">
        <v>44665</v>
      </c>
      <c r="B164" s="183">
        <v>0.61901620370370369</v>
      </c>
      <c r="C164" s="184" t="s">
        <v>67</v>
      </c>
      <c r="D164" s="184" t="s">
        <v>68</v>
      </c>
      <c r="E164" s="184" t="s">
        <v>69</v>
      </c>
      <c r="F164" s="182">
        <v>44729</v>
      </c>
      <c r="G164" s="186" t="s">
        <v>112</v>
      </c>
      <c r="H164" s="184" t="s">
        <v>101</v>
      </c>
      <c r="T164" s="184" t="s">
        <v>567</v>
      </c>
    </row>
    <row r="165" spans="1:20">
      <c r="A165" s="182">
        <v>44666</v>
      </c>
      <c r="B165" s="183">
        <v>0.47180555555555559</v>
      </c>
      <c r="C165" s="184" t="s">
        <v>67</v>
      </c>
      <c r="D165" s="184" t="s">
        <v>68</v>
      </c>
      <c r="E165" s="184" t="s">
        <v>96</v>
      </c>
      <c r="F165" s="182">
        <v>44709</v>
      </c>
      <c r="G165" s="186" t="s">
        <v>94</v>
      </c>
      <c r="H165" s="184" t="s">
        <v>273</v>
      </c>
      <c r="T165" s="184" t="s">
        <v>799</v>
      </c>
    </row>
    <row r="166" spans="1:20">
      <c r="A166" s="182">
        <v>44666</v>
      </c>
      <c r="B166" s="183">
        <v>0.55996527777777783</v>
      </c>
      <c r="C166" s="184" t="s">
        <v>67</v>
      </c>
      <c r="D166" s="184" t="s">
        <v>68</v>
      </c>
      <c r="E166" s="184" t="s">
        <v>69</v>
      </c>
      <c r="F166" s="182">
        <v>44676</v>
      </c>
      <c r="G166" s="186" t="s">
        <v>83</v>
      </c>
      <c r="H166" s="184" t="s">
        <v>706</v>
      </c>
      <c r="T166" s="184" t="s">
        <v>800</v>
      </c>
    </row>
    <row r="167" spans="1:20">
      <c r="A167" s="182">
        <v>44666</v>
      </c>
      <c r="B167" s="183">
        <v>0.63285879629629627</v>
      </c>
      <c r="C167" s="184" t="s">
        <v>73</v>
      </c>
      <c r="D167" s="184" t="s">
        <v>78</v>
      </c>
      <c r="E167" s="184" t="s">
        <v>85</v>
      </c>
      <c r="F167" s="182">
        <v>44708</v>
      </c>
      <c r="G167" s="186" t="s">
        <v>114</v>
      </c>
      <c r="H167" s="184" t="s">
        <v>106</v>
      </c>
    </row>
    <row r="168" spans="1:20">
      <c r="A168" s="182">
        <v>44666</v>
      </c>
      <c r="B168" s="183">
        <v>0.63343749999999999</v>
      </c>
      <c r="C168" s="184" t="s">
        <v>73</v>
      </c>
      <c r="D168" s="184" t="s">
        <v>91</v>
      </c>
      <c r="E168" s="184" t="s">
        <v>85</v>
      </c>
      <c r="F168" s="182">
        <v>44708</v>
      </c>
      <c r="G168" s="186" t="s">
        <v>94</v>
      </c>
      <c r="H168" s="184" t="s">
        <v>92</v>
      </c>
    </row>
    <row r="169" spans="1:20">
      <c r="A169" s="182">
        <v>44666</v>
      </c>
      <c r="B169" s="183">
        <v>0.64456018518518521</v>
      </c>
      <c r="C169" s="184" t="s">
        <v>73</v>
      </c>
      <c r="D169" s="184" t="s">
        <v>78</v>
      </c>
      <c r="E169" s="184" t="s">
        <v>96</v>
      </c>
      <c r="F169" s="182">
        <v>44709</v>
      </c>
      <c r="G169" s="186" t="s">
        <v>94</v>
      </c>
      <c r="H169" s="184" t="s">
        <v>107</v>
      </c>
    </row>
    <row r="170" spans="1:20">
      <c r="A170" s="182">
        <v>44666</v>
      </c>
      <c r="B170" s="183">
        <v>0.67287037037037034</v>
      </c>
      <c r="C170" s="184" t="s">
        <v>73</v>
      </c>
      <c r="D170" s="184" t="s">
        <v>68</v>
      </c>
      <c r="E170" s="184" t="s">
        <v>96</v>
      </c>
      <c r="F170" s="182">
        <v>44709</v>
      </c>
      <c r="G170" s="186" t="s">
        <v>160</v>
      </c>
      <c r="H170" s="184" t="s">
        <v>182</v>
      </c>
      <c r="T170" s="184" t="s">
        <v>234</v>
      </c>
    </row>
    <row r="171" spans="1:20">
      <c r="A171" s="182">
        <v>44666</v>
      </c>
      <c r="B171" s="183">
        <v>0.6746875</v>
      </c>
      <c r="C171" s="184" t="s">
        <v>73</v>
      </c>
      <c r="D171" s="184" t="s">
        <v>68</v>
      </c>
      <c r="E171" s="184" t="s">
        <v>96</v>
      </c>
      <c r="F171" s="182">
        <v>44754</v>
      </c>
      <c r="G171" s="186" t="s">
        <v>114</v>
      </c>
      <c r="H171" s="184" t="s">
        <v>87</v>
      </c>
      <c r="T171" s="184" t="s">
        <v>234</v>
      </c>
    </row>
    <row r="172" spans="1:20">
      <c r="A172" s="182">
        <v>44666</v>
      </c>
      <c r="B172" s="183">
        <v>0.67599537037037039</v>
      </c>
      <c r="C172" s="184" t="s">
        <v>73</v>
      </c>
      <c r="D172" s="184" t="s">
        <v>68</v>
      </c>
      <c r="E172" s="184" t="s">
        <v>69</v>
      </c>
      <c r="F172" s="182">
        <v>44729</v>
      </c>
      <c r="G172" s="186" t="s">
        <v>114</v>
      </c>
      <c r="H172" s="184" t="s">
        <v>182</v>
      </c>
      <c r="T172" s="184" t="s">
        <v>234</v>
      </c>
    </row>
    <row r="173" spans="1:20">
      <c r="A173" s="182">
        <v>44666</v>
      </c>
      <c r="B173" s="183">
        <v>0.68195601851851861</v>
      </c>
      <c r="C173" s="184" t="s">
        <v>67</v>
      </c>
      <c r="D173" s="184" t="s">
        <v>68</v>
      </c>
      <c r="E173" s="184" t="s">
        <v>96</v>
      </c>
      <c r="F173" s="182">
        <v>44754</v>
      </c>
      <c r="G173" s="186" t="s">
        <v>801</v>
      </c>
      <c r="H173" s="184" t="s">
        <v>209</v>
      </c>
      <c r="T173" s="184" t="s">
        <v>147</v>
      </c>
    </row>
    <row r="174" spans="1:20">
      <c r="A174" s="182">
        <v>44669</v>
      </c>
      <c r="B174" s="183">
        <v>0.64635416666666667</v>
      </c>
      <c r="C174" s="184" t="s">
        <v>67</v>
      </c>
      <c r="D174" s="184" t="s">
        <v>91</v>
      </c>
      <c r="E174" s="184" t="s">
        <v>96</v>
      </c>
      <c r="F174" s="182">
        <v>44709</v>
      </c>
      <c r="G174" s="186" t="s">
        <v>613</v>
      </c>
      <c r="H174" s="184" t="s">
        <v>803</v>
      </c>
    </row>
    <row r="175" spans="1:20">
      <c r="A175" s="182">
        <v>44669</v>
      </c>
      <c r="B175" s="183">
        <v>0.65597222222222229</v>
      </c>
      <c r="C175" s="184" t="s">
        <v>67</v>
      </c>
      <c r="D175" s="184" t="s">
        <v>78</v>
      </c>
      <c r="E175" s="184" t="s">
        <v>69</v>
      </c>
      <c r="F175" s="182">
        <v>44697</v>
      </c>
      <c r="G175" s="186" t="s">
        <v>94</v>
      </c>
      <c r="H175" s="184" t="s">
        <v>265</v>
      </c>
    </row>
    <row r="176" spans="1:20">
      <c r="A176" s="182">
        <v>44670</v>
      </c>
      <c r="B176" s="183">
        <v>0.42097222222222225</v>
      </c>
      <c r="C176" s="184" t="s">
        <v>73</v>
      </c>
      <c r="D176" s="184" t="s">
        <v>68</v>
      </c>
      <c r="E176" s="184" t="s">
        <v>96</v>
      </c>
      <c r="F176" s="182">
        <v>44754</v>
      </c>
      <c r="G176" s="186" t="s">
        <v>804</v>
      </c>
      <c r="H176" s="184" t="s">
        <v>87</v>
      </c>
      <c r="T176" s="184" t="s">
        <v>147</v>
      </c>
    </row>
    <row r="177" spans="1:20">
      <c r="A177" s="182">
        <v>44670</v>
      </c>
      <c r="B177" s="183">
        <v>0.42126157407407411</v>
      </c>
      <c r="C177" s="184" t="s">
        <v>73</v>
      </c>
      <c r="D177" s="184" t="s">
        <v>68</v>
      </c>
      <c r="E177" s="184" t="s">
        <v>96</v>
      </c>
      <c r="F177" s="182">
        <v>44754</v>
      </c>
      <c r="G177" s="186" t="s">
        <v>464</v>
      </c>
      <c r="H177" s="184" t="s">
        <v>209</v>
      </c>
      <c r="T177" s="184" t="s">
        <v>147</v>
      </c>
    </row>
    <row r="178" spans="1:20">
      <c r="A178" s="182">
        <v>44670</v>
      </c>
      <c r="B178" s="183">
        <v>0.5493055555555556</v>
      </c>
      <c r="C178" s="184" t="s">
        <v>73</v>
      </c>
      <c r="D178" s="184" t="s">
        <v>68</v>
      </c>
      <c r="E178" s="184" t="s">
        <v>45</v>
      </c>
      <c r="F178" s="182">
        <v>44715</v>
      </c>
      <c r="G178" s="186" t="s">
        <v>114</v>
      </c>
      <c r="H178" s="184" t="s">
        <v>103</v>
      </c>
      <c r="T178" s="184" t="s">
        <v>257</v>
      </c>
    </row>
    <row r="179" spans="1:20">
      <c r="A179" s="182">
        <v>44670</v>
      </c>
      <c r="B179" s="183">
        <v>0.55973379629629627</v>
      </c>
      <c r="C179" s="184" t="s">
        <v>73</v>
      </c>
      <c r="D179" s="184" t="s">
        <v>68</v>
      </c>
      <c r="E179" s="184" t="s">
        <v>19</v>
      </c>
      <c r="F179" s="182">
        <v>44742</v>
      </c>
      <c r="G179" s="186" t="s">
        <v>114</v>
      </c>
      <c r="H179" s="184" t="s">
        <v>259</v>
      </c>
      <c r="T179" s="184" t="s">
        <v>257</v>
      </c>
    </row>
    <row r="180" spans="1:20">
      <c r="A180" s="182">
        <v>44670</v>
      </c>
      <c r="B180" s="183">
        <v>0.57130787037037034</v>
      </c>
      <c r="C180" s="184" t="s">
        <v>73</v>
      </c>
      <c r="D180" s="184" t="s">
        <v>68</v>
      </c>
      <c r="E180" s="184" t="s">
        <v>124</v>
      </c>
      <c r="F180" s="182">
        <v>44764</v>
      </c>
      <c r="G180" s="186" t="s">
        <v>114</v>
      </c>
      <c r="H180" s="184" t="s">
        <v>101</v>
      </c>
      <c r="T180" s="184" t="s">
        <v>805</v>
      </c>
    </row>
    <row r="181" spans="1:20">
      <c r="A181" s="182">
        <v>44670</v>
      </c>
      <c r="B181" s="183">
        <v>0.63975694444444442</v>
      </c>
      <c r="C181" s="184" t="s">
        <v>73</v>
      </c>
      <c r="D181" s="184" t="s">
        <v>68</v>
      </c>
      <c r="E181" s="184" t="s">
        <v>124</v>
      </c>
      <c r="F181" s="182">
        <v>44764</v>
      </c>
      <c r="G181" s="186" t="s">
        <v>94</v>
      </c>
      <c r="H181" s="184" t="s">
        <v>103</v>
      </c>
      <c r="T181" s="184" t="s">
        <v>161</v>
      </c>
    </row>
    <row r="182" spans="1:20">
      <c r="A182" s="182">
        <v>44670</v>
      </c>
      <c r="B182" s="183">
        <v>0.67268518518518527</v>
      </c>
      <c r="C182" s="184" t="s">
        <v>73</v>
      </c>
      <c r="D182" s="184" t="s">
        <v>91</v>
      </c>
      <c r="E182" s="184" t="s">
        <v>96</v>
      </c>
      <c r="F182" s="182">
        <v>44709</v>
      </c>
      <c r="G182" s="186" t="s">
        <v>94</v>
      </c>
      <c r="H182" s="184" t="s">
        <v>752</v>
      </c>
    </row>
    <row r="183" spans="1:20">
      <c r="A183" s="182">
        <v>44670</v>
      </c>
      <c r="B183" s="183">
        <v>0.70678240740740739</v>
      </c>
      <c r="C183" s="184" t="s">
        <v>73</v>
      </c>
      <c r="D183" s="184" t="s">
        <v>68</v>
      </c>
      <c r="E183" s="184" t="s">
        <v>69</v>
      </c>
      <c r="F183" s="182">
        <v>44676</v>
      </c>
      <c r="G183" s="186" t="s">
        <v>114</v>
      </c>
      <c r="H183" s="184" t="s">
        <v>708</v>
      </c>
      <c r="T183" s="184" t="s">
        <v>470</v>
      </c>
    </row>
    <row r="184" spans="1:20">
      <c r="A184" s="182">
        <v>44670</v>
      </c>
      <c r="B184" s="183">
        <v>0.7096527777777778</v>
      </c>
      <c r="C184" s="184" t="s">
        <v>73</v>
      </c>
      <c r="D184" s="184" t="s">
        <v>91</v>
      </c>
      <c r="E184" s="184" t="s">
        <v>69</v>
      </c>
      <c r="F184" s="182">
        <v>44697</v>
      </c>
      <c r="G184" s="186" t="s">
        <v>553</v>
      </c>
      <c r="H184" s="184" t="s">
        <v>285</v>
      </c>
    </row>
    <row r="185" spans="1:20">
      <c r="A185" s="182">
        <v>44671</v>
      </c>
      <c r="B185" s="183">
        <v>0.49252314814814818</v>
      </c>
      <c r="C185" s="184" t="s">
        <v>73</v>
      </c>
      <c r="D185" s="184" t="s">
        <v>68</v>
      </c>
      <c r="E185" s="184" t="s">
        <v>69</v>
      </c>
      <c r="F185" s="182">
        <v>44697</v>
      </c>
      <c r="G185" s="186" t="s">
        <v>70</v>
      </c>
      <c r="H185" s="184" t="s">
        <v>71</v>
      </c>
      <c r="T185" s="184" t="s">
        <v>806</v>
      </c>
    </row>
    <row r="186" spans="1:20">
      <c r="A186" s="182">
        <v>44671</v>
      </c>
      <c r="B186" s="183">
        <v>0.54041666666666666</v>
      </c>
      <c r="C186" s="184" t="s">
        <v>73</v>
      </c>
      <c r="D186" s="184" t="s">
        <v>78</v>
      </c>
      <c r="E186" s="184" t="s">
        <v>96</v>
      </c>
      <c r="F186" s="182">
        <v>44754</v>
      </c>
      <c r="G186" s="186" t="s">
        <v>114</v>
      </c>
      <c r="H186" s="184" t="s">
        <v>267</v>
      </c>
    </row>
    <row r="187" spans="1:20">
      <c r="A187" s="182">
        <v>44671</v>
      </c>
      <c r="B187" s="183">
        <v>0.54056712962962961</v>
      </c>
      <c r="C187" s="184" t="s">
        <v>73</v>
      </c>
      <c r="D187" s="184" t="s">
        <v>78</v>
      </c>
      <c r="E187" s="184" t="s">
        <v>124</v>
      </c>
      <c r="F187" s="182">
        <v>44764</v>
      </c>
      <c r="G187" s="186" t="s">
        <v>94</v>
      </c>
      <c r="H187" s="184" t="s">
        <v>113</v>
      </c>
    </row>
    <row r="188" spans="1:20">
      <c r="A188" s="182">
        <v>44671</v>
      </c>
      <c r="B188" s="183">
        <v>0.57928240740740744</v>
      </c>
      <c r="C188" s="184" t="s">
        <v>73</v>
      </c>
      <c r="D188" s="184" t="s">
        <v>68</v>
      </c>
      <c r="E188" s="184" t="s">
        <v>19</v>
      </c>
      <c r="F188" s="182">
        <v>44742</v>
      </c>
      <c r="G188" s="186" t="s">
        <v>94</v>
      </c>
      <c r="H188" s="184" t="s">
        <v>273</v>
      </c>
      <c r="T188" s="184" t="s">
        <v>249</v>
      </c>
    </row>
    <row r="189" spans="1:20">
      <c r="A189" s="182">
        <v>44671</v>
      </c>
      <c r="B189" s="183">
        <v>0.57991898148148147</v>
      </c>
      <c r="C189" s="184" t="s">
        <v>73</v>
      </c>
      <c r="D189" s="184" t="s">
        <v>68</v>
      </c>
      <c r="E189" s="184" t="s">
        <v>45</v>
      </c>
      <c r="F189" s="182">
        <v>44715</v>
      </c>
      <c r="G189" s="186" t="s">
        <v>94</v>
      </c>
      <c r="H189" s="184" t="s">
        <v>182</v>
      </c>
      <c r="T189" s="184" t="s">
        <v>249</v>
      </c>
    </row>
    <row r="190" spans="1:20">
      <c r="A190" s="182">
        <v>44671</v>
      </c>
      <c r="B190" s="183">
        <v>0.58034722222222224</v>
      </c>
      <c r="C190" s="184" t="s">
        <v>73</v>
      </c>
      <c r="D190" s="184" t="s">
        <v>68</v>
      </c>
      <c r="E190" s="184" t="s">
        <v>124</v>
      </c>
      <c r="F190" s="182">
        <v>44764</v>
      </c>
      <c r="G190" s="186" t="s">
        <v>94</v>
      </c>
      <c r="H190" s="184" t="s">
        <v>182</v>
      </c>
      <c r="T190" s="184" t="s">
        <v>249</v>
      </c>
    </row>
    <row r="191" spans="1:20">
      <c r="A191" s="182">
        <v>44671</v>
      </c>
      <c r="B191" s="183">
        <v>0.67402777777777778</v>
      </c>
      <c r="C191" s="184" t="s">
        <v>73</v>
      </c>
      <c r="D191" s="184" t="s">
        <v>68</v>
      </c>
      <c r="E191" s="184" t="s">
        <v>19</v>
      </c>
      <c r="F191" s="182">
        <v>44742</v>
      </c>
      <c r="G191" s="186" t="s">
        <v>94</v>
      </c>
      <c r="H191" s="184" t="s">
        <v>261</v>
      </c>
      <c r="T191" s="184" t="s">
        <v>587</v>
      </c>
    </row>
    <row r="192" spans="1:20">
      <c r="A192" s="182">
        <v>44671</v>
      </c>
      <c r="B192" s="183">
        <v>0.67483796296296295</v>
      </c>
      <c r="C192" s="184" t="s">
        <v>73</v>
      </c>
      <c r="D192" s="184" t="s">
        <v>68</v>
      </c>
      <c r="E192" s="184" t="s">
        <v>96</v>
      </c>
      <c r="F192" s="182">
        <v>44754</v>
      </c>
      <c r="G192" s="186" t="s">
        <v>94</v>
      </c>
      <c r="H192" s="184" t="s">
        <v>272</v>
      </c>
      <c r="T192" s="184" t="s">
        <v>610</v>
      </c>
    </row>
    <row r="193" spans="1:20">
      <c r="A193" s="182">
        <v>44671</v>
      </c>
      <c r="B193" s="183">
        <v>0.67907407407407405</v>
      </c>
      <c r="C193" s="184" t="s">
        <v>73</v>
      </c>
      <c r="D193" s="184" t="s">
        <v>68</v>
      </c>
      <c r="E193" s="184" t="s">
        <v>89</v>
      </c>
      <c r="F193" s="182">
        <v>44743</v>
      </c>
      <c r="G193" s="186" t="s">
        <v>94</v>
      </c>
      <c r="H193" s="184" t="s">
        <v>182</v>
      </c>
      <c r="T193" s="184" t="s">
        <v>807</v>
      </c>
    </row>
    <row r="194" spans="1:20">
      <c r="A194" s="182">
        <v>44672</v>
      </c>
      <c r="B194" s="183">
        <v>0.37116898148148153</v>
      </c>
      <c r="C194" s="184" t="s">
        <v>67</v>
      </c>
      <c r="D194" s="184" t="s">
        <v>68</v>
      </c>
      <c r="E194" s="184" t="s">
        <v>95</v>
      </c>
      <c r="F194" s="182">
        <v>44697</v>
      </c>
      <c r="G194" s="186" t="s">
        <v>94</v>
      </c>
      <c r="H194" s="184" t="s">
        <v>256</v>
      </c>
      <c r="T194" s="184" t="s">
        <v>808</v>
      </c>
    </row>
    <row r="195" spans="1:20">
      <c r="A195" s="182">
        <v>44672</v>
      </c>
      <c r="B195" s="183">
        <v>0.37224537037037037</v>
      </c>
      <c r="C195" s="184" t="s">
        <v>67</v>
      </c>
      <c r="D195" s="184" t="s">
        <v>68</v>
      </c>
      <c r="E195" s="184" t="s">
        <v>85</v>
      </c>
      <c r="F195" s="182">
        <v>44708</v>
      </c>
      <c r="G195" s="186" t="s">
        <v>94</v>
      </c>
      <c r="H195" s="184" t="s">
        <v>103</v>
      </c>
      <c r="T195" s="184" t="s">
        <v>375</v>
      </c>
    </row>
    <row r="196" spans="1:20">
      <c r="A196" s="182">
        <v>44672</v>
      </c>
      <c r="B196" s="183">
        <v>0.57641203703703703</v>
      </c>
      <c r="C196" s="184" t="s">
        <v>73</v>
      </c>
      <c r="D196" s="184" t="s">
        <v>68</v>
      </c>
      <c r="E196" s="184" t="s">
        <v>69</v>
      </c>
      <c r="F196" s="182">
        <v>44697</v>
      </c>
      <c r="G196" s="186" t="s">
        <v>94</v>
      </c>
      <c r="H196" s="184" t="s">
        <v>76</v>
      </c>
      <c r="T196" s="184" t="s">
        <v>809</v>
      </c>
    </row>
    <row r="197" spans="1:20">
      <c r="A197" s="182">
        <v>44672</v>
      </c>
      <c r="B197" s="183">
        <v>0.67855324074074075</v>
      </c>
      <c r="C197" s="184" t="s">
        <v>73</v>
      </c>
      <c r="D197" s="184" t="s">
        <v>78</v>
      </c>
      <c r="E197" s="184" t="s">
        <v>45</v>
      </c>
      <c r="F197" s="182">
        <v>44715</v>
      </c>
      <c r="G197" s="186" t="s">
        <v>94</v>
      </c>
      <c r="H197" s="184" t="s">
        <v>82</v>
      </c>
    </row>
    <row r="198" spans="1:20">
      <c r="A198" s="182">
        <v>44672</v>
      </c>
      <c r="B198" s="183">
        <v>0.67872685185185189</v>
      </c>
      <c r="C198" s="184" t="s">
        <v>73</v>
      </c>
      <c r="D198" s="184" t="s">
        <v>78</v>
      </c>
      <c r="E198" s="184" t="s">
        <v>19</v>
      </c>
      <c r="F198" s="182">
        <v>44742</v>
      </c>
      <c r="G198" s="186" t="s">
        <v>94</v>
      </c>
      <c r="H198" s="184" t="s">
        <v>267</v>
      </c>
    </row>
    <row r="199" spans="1:20">
      <c r="A199" s="182">
        <v>44673</v>
      </c>
      <c r="B199" s="183">
        <v>0.44829861111111113</v>
      </c>
      <c r="C199" s="184" t="s">
        <v>67</v>
      </c>
      <c r="D199" s="184" t="s">
        <v>78</v>
      </c>
      <c r="E199" s="184" t="s">
        <v>95</v>
      </c>
      <c r="F199" s="182">
        <v>44697</v>
      </c>
      <c r="G199" s="186" t="s">
        <v>70</v>
      </c>
      <c r="H199" s="184" t="s">
        <v>86</v>
      </c>
    </row>
    <row r="200" spans="1:20">
      <c r="A200" s="182">
        <v>44673</v>
      </c>
      <c r="B200" s="183">
        <v>0.5621990740740741</v>
      </c>
      <c r="C200" s="184" t="s">
        <v>67</v>
      </c>
      <c r="D200" s="184" t="s">
        <v>78</v>
      </c>
      <c r="E200" s="184" t="s">
        <v>69</v>
      </c>
      <c r="F200" s="182">
        <v>44697</v>
      </c>
      <c r="G200" s="186" t="s">
        <v>94</v>
      </c>
      <c r="H200" s="184" t="s">
        <v>288</v>
      </c>
    </row>
    <row r="201" spans="1:20">
      <c r="A201" s="182">
        <v>44673</v>
      </c>
      <c r="B201" s="183">
        <v>0.56254629629629627</v>
      </c>
      <c r="C201" s="184" t="s">
        <v>67</v>
      </c>
      <c r="D201" s="184" t="s">
        <v>91</v>
      </c>
      <c r="E201" s="184" t="s">
        <v>96</v>
      </c>
      <c r="F201" s="182">
        <v>44709</v>
      </c>
      <c r="G201" s="186" t="s">
        <v>94</v>
      </c>
      <c r="H201" s="184" t="s">
        <v>756</v>
      </c>
    </row>
    <row r="202" spans="1:20">
      <c r="A202" s="182">
        <v>44673</v>
      </c>
      <c r="B202" s="183">
        <v>0.59530092592592598</v>
      </c>
      <c r="C202" s="184" t="s">
        <v>67</v>
      </c>
      <c r="D202" s="184" t="s">
        <v>68</v>
      </c>
      <c r="E202" s="184" t="s">
        <v>95</v>
      </c>
      <c r="F202" s="182">
        <v>44697</v>
      </c>
      <c r="G202" s="186" t="s">
        <v>94</v>
      </c>
      <c r="H202" s="184" t="s">
        <v>305</v>
      </c>
      <c r="T202" s="184" t="s">
        <v>138</v>
      </c>
    </row>
    <row r="203" spans="1:20">
      <c r="A203" s="182">
        <v>44673</v>
      </c>
      <c r="B203" s="183">
        <v>0.61805555555555558</v>
      </c>
      <c r="C203" s="184" t="s">
        <v>67</v>
      </c>
      <c r="D203" s="184" t="s">
        <v>91</v>
      </c>
      <c r="E203" s="184" t="s">
        <v>96</v>
      </c>
      <c r="F203" s="182">
        <v>44709</v>
      </c>
      <c r="G203" s="186" t="s">
        <v>94</v>
      </c>
      <c r="H203" s="184" t="s">
        <v>777</v>
      </c>
    </row>
    <row r="204" spans="1:20">
      <c r="A204" s="182">
        <v>44676</v>
      </c>
      <c r="B204" s="183">
        <v>0.42310185185185184</v>
      </c>
      <c r="C204" s="184" t="s">
        <v>73</v>
      </c>
      <c r="D204" s="184" t="s">
        <v>78</v>
      </c>
      <c r="E204" s="184" t="s">
        <v>69</v>
      </c>
      <c r="F204" s="182">
        <v>44697</v>
      </c>
      <c r="G204" s="186" t="s">
        <v>94</v>
      </c>
      <c r="H204" s="184" t="s">
        <v>267</v>
      </c>
    </row>
    <row r="205" spans="1:20">
      <c r="A205" s="182">
        <v>44676</v>
      </c>
      <c r="B205" s="183">
        <v>0.42659722222222224</v>
      </c>
      <c r="C205" s="184" t="s">
        <v>73</v>
      </c>
      <c r="D205" s="184" t="s">
        <v>68</v>
      </c>
      <c r="E205" s="184" t="s">
        <v>204</v>
      </c>
      <c r="F205" s="182">
        <v>44719</v>
      </c>
      <c r="G205" s="186" t="s">
        <v>99</v>
      </c>
      <c r="H205" s="184" t="s">
        <v>87</v>
      </c>
      <c r="T205" s="184" t="s">
        <v>796</v>
      </c>
    </row>
    <row r="206" spans="1:20">
      <c r="A206" s="182">
        <v>44676</v>
      </c>
      <c r="B206" s="183">
        <v>0.60646990740740747</v>
      </c>
      <c r="C206" s="184" t="s">
        <v>73</v>
      </c>
      <c r="D206" s="184" t="s">
        <v>68</v>
      </c>
      <c r="E206" s="184" t="s">
        <v>19</v>
      </c>
      <c r="F206" s="182">
        <v>44742</v>
      </c>
      <c r="G206" s="186" t="s">
        <v>112</v>
      </c>
      <c r="H206" s="184" t="s">
        <v>305</v>
      </c>
      <c r="T206" s="184" t="s">
        <v>567</v>
      </c>
    </row>
    <row r="207" spans="1:20">
      <c r="A207" s="182">
        <v>44676</v>
      </c>
      <c r="B207" s="183">
        <v>0.60699074074074078</v>
      </c>
      <c r="C207" s="184" t="s">
        <v>73</v>
      </c>
      <c r="D207" s="184" t="s">
        <v>68</v>
      </c>
      <c r="E207" s="184" t="s">
        <v>96</v>
      </c>
      <c r="F207" s="182">
        <v>44754</v>
      </c>
      <c r="G207" s="186" t="s">
        <v>112</v>
      </c>
      <c r="H207" s="184" t="s">
        <v>231</v>
      </c>
      <c r="T207" s="184" t="s">
        <v>567</v>
      </c>
    </row>
    <row r="208" spans="1:20">
      <c r="A208" s="182">
        <v>44676</v>
      </c>
      <c r="B208" s="183">
        <v>0.65081018518518519</v>
      </c>
      <c r="C208" s="184" t="s">
        <v>73</v>
      </c>
      <c r="D208" s="184" t="s">
        <v>68</v>
      </c>
      <c r="E208" s="184" t="s">
        <v>96</v>
      </c>
      <c r="F208" s="182">
        <v>44709</v>
      </c>
      <c r="G208" s="186" t="s">
        <v>99</v>
      </c>
      <c r="H208" s="184" t="s">
        <v>103</v>
      </c>
      <c r="T208" s="184" t="s">
        <v>784</v>
      </c>
    </row>
    <row r="209" spans="1:20">
      <c r="A209" s="182">
        <v>44676</v>
      </c>
      <c r="B209" s="183">
        <v>0.68239583333333342</v>
      </c>
      <c r="C209" s="184" t="s">
        <v>73</v>
      </c>
      <c r="D209" s="184" t="s">
        <v>68</v>
      </c>
      <c r="E209" s="184" t="s">
        <v>69</v>
      </c>
      <c r="F209" s="182">
        <v>44697</v>
      </c>
      <c r="G209" s="186" t="s">
        <v>112</v>
      </c>
      <c r="H209" s="184" t="s">
        <v>103</v>
      </c>
      <c r="T209" s="184" t="s">
        <v>810</v>
      </c>
    </row>
    <row r="210" spans="1:20">
      <c r="A210" s="182">
        <v>44676</v>
      </c>
      <c r="B210" s="183">
        <v>0.68317129629629625</v>
      </c>
      <c r="C210" s="184" t="s">
        <v>73</v>
      </c>
      <c r="D210" s="184" t="s">
        <v>68</v>
      </c>
      <c r="E210" s="184" t="s">
        <v>69</v>
      </c>
      <c r="F210" s="182">
        <v>44729</v>
      </c>
      <c r="G210" s="186" t="s">
        <v>114</v>
      </c>
      <c r="H210" s="184" t="s">
        <v>259</v>
      </c>
      <c r="T210" s="184" t="s">
        <v>810</v>
      </c>
    </row>
    <row r="211" spans="1:20">
      <c r="A211" s="182">
        <v>44676</v>
      </c>
      <c r="B211" s="183">
        <v>0.70020833333333332</v>
      </c>
      <c r="C211" s="184" t="s">
        <v>73</v>
      </c>
      <c r="D211" s="184" t="s">
        <v>78</v>
      </c>
      <c r="E211" s="184" t="s">
        <v>69</v>
      </c>
      <c r="F211" s="182">
        <v>44697</v>
      </c>
      <c r="G211" s="186" t="s">
        <v>94</v>
      </c>
      <c r="H211" s="184" t="s">
        <v>327</v>
      </c>
    </row>
    <row r="212" spans="1:20">
      <c r="A212" s="182">
        <v>44677</v>
      </c>
      <c r="B212" s="183">
        <v>0.43055555555555558</v>
      </c>
      <c r="C212" s="184" t="s">
        <v>67</v>
      </c>
      <c r="D212" s="184" t="s">
        <v>68</v>
      </c>
      <c r="E212" s="184" t="s">
        <v>69</v>
      </c>
      <c r="F212" s="182">
        <v>44729</v>
      </c>
      <c r="G212" s="186" t="s">
        <v>811</v>
      </c>
      <c r="H212" s="184" t="s">
        <v>425</v>
      </c>
      <c r="T212" s="184" t="s">
        <v>812</v>
      </c>
    </row>
    <row r="213" spans="1:20">
      <c r="A213" s="182">
        <v>44677</v>
      </c>
      <c r="B213" s="183">
        <v>0.53765046296296293</v>
      </c>
      <c r="C213" s="184" t="s">
        <v>67</v>
      </c>
      <c r="D213" s="184" t="s">
        <v>68</v>
      </c>
      <c r="E213" s="184" t="s">
        <v>69</v>
      </c>
      <c r="F213" s="182">
        <v>44697</v>
      </c>
      <c r="G213" s="186" t="s">
        <v>99</v>
      </c>
      <c r="H213" s="184" t="s">
        <v>101</v>
      </c>
      <c r="T213" s="184" t="s">
        <v>813</v>
      </c>
    </row>
    <row r="214" spans="1:20">
      <c r="A214" s="182">
        <v>44677</v>
      </c>
      <c r="B214" s="183">
        <v>0.54672453703703705</v>
      </c>
      <c r="C214" s="184" t="s">
        <v>67</v>
      </c>
      <c r="D214" s="184" t="s">
        <v>91</v>
      </c>
      <c r="E214" s="184" t="s">
        <v>96</v>
      </c>
      <c r="F214" s="182">
        <v>44709</v>
      </c>
      <c r="G214" s="186" t="s">
        <v>814</v>
      </c>
      <c r="H214" s="184" t="s">
        <v>296</v>
      </c>
    </row>
    <row r="215" spans="1:20">
      <c r="A215" s="182">
        <v>44677</v>
      </c>
      <c r="B215" s="183">
        <v>0.5475578703703704</v>
      </c>
      <c r="C215" s="184" t="s">
        <v>67</v>
      </c>
      <c r="D215" s="184" t="s">
        <v>91</v>
      </c>
      <c r="E215" s="184" t="s">
        <v>96</v>
      </c>
      <c r="F215" s="182">
        <v>44709</v>
      </c>
      <c r="G215" s="186" t="s">
        <v>815</v>
      </c>
      <c r="H215" s="184" t="s">
        <v>777</v>
      </c>
    </row>
    <row r="216" spans="1:20">
      <c r="A216" s="182">
        <v>44677</v>
      </c>
      <c r="B216" s="183">
        <v>0.54762731481481486</v>
      </c>
      <c r="C216" s="184" t="s">
        <v>67</v>
      </c>
      <c r="D216" s="184" t="s">
        <v>91</v>
      </c>
      <c r="E216" s="184" t="s">
        <v>96</v>
      </c>
      <c r="F216" s="182">
        <v>44709</v>
      </c>
      <c r="G216" s="186" t="s">
        <v>115</v>
      </c>
      <c r="H216" s="184" t="s">
        <v>752</v>
      </c>
    </row>
    <row r="217" spans="1:20">
      <c r="A217" s="182">
        <v>44677</v>
      </c>
      <c r="B217" s="183">
        <v>0.63741898148148146</v>
      </c>
      <c r="C217" s="184" t="s">
        <v>67</v>
      </c>
      <c r="D217" s="184" t="s">
        <v>91</v>
      </c>
      <c r="E217" s="184" t="s">
        <v>124</v>
      </c>
      <c r="F217" s="182">
        <v>44764</v>
      </c>
      <c r="G217" s="186" t="s">
        <v>70</v>
      </c>
      <c r="H217" s="184" t="s">
        <v>93</v>
      </c>
    </row>
    <row r="218" spans="1:20">
      <c r="A218" s="182">
        <v>44677</v>
      </c>
      <c r="B218" s="183">
        <v>0.6402430555555555</v>
      </c>
      <c r="C218" s="184" t="s">
        <v>67</v>
      </c>
      <c r="D218" s="184" t="s">
        <v>91</v>
      </c>
      <c r="E218" s="184" t="s">
        <v>19</v>
      </c>
      <c r="F218" s="182">
        <v>44742</v>
      </c>
      <c r="G218" s="186" t="s">
        <v>75</v>
      </c>
      <c r="H218" s="184" t="s">
        <v>92</v>
      </c>
    </row>
    <row r="219" spans="1:20">
      <c r="A219" s="182">
        <v>44677</v>
      </c>
      <c r="B219" s="183">
        <v>0.6403240740740741</v>
      </c>
      <c r="C219" s="184" t="s">
        <v>67</v>
      </c>
      <c r="D219" s="184" t="s">
        <v>91</v>
      </c>
      <c r="E219" s="184" t="s">
        <v>19</v>
      </c>
      <c r="F219" s="182">
        <v>44742</v>
      </c>
      <c r="G219" s="186" t="s">
        <v>70</v>
      </c>
      <c r="H219" s="184" t="s">
        <v>227</v>
      </c>
    </row>
    <row r="220" spans="1:20">
      <c r="A220" s="182">
        <v>44678</v>
      </c>
      <c r="B220" s="183">
        <v>0.3979050925925926</v>
      </c>
      <c r="C220" s="184" t="s">
        <v>73</v>
      </c>
      <c r="D220" s="184" t="s">
        <v>68</v>
      </c>
      <c r="E220" s="184" t="s">
        <v>69</v>
      </c>
      <c r="F220" s="182">
        <v>44697</v>
      </c>
      <c r="G220" s="186" t="s">
        <v>94</v>
      </c>
      <c r="H220" s="184" t="s">
        <v>103</v>
      </c>
      <c r="T220" s="184" t="s">
        <v>816</v>
      </c>
    </row>
    <row r="221" spans="1:20">
      <c r="A221" s="182">
        <v>44678</v>
      </c>
      <c r="B221" s="183">
        <v>0.56807870370370372</v>
      </c>
      <c r="C221" s="184" t="s">
        <v>73</v>
      </c>
      <c r="D221" s="184" t="s">
        <v>91</v>
      </c>
      <c r="E221" s="184" t="s">
        <v>204</v>
      </c>
      <c r="F221" s="182">
        <v>44719</v>
      </c>
      <c r="G221" s="186" t="s">
        <v>75</v>
      </c>
      <c r="H221" s="184" t="s">
        <v>92</v>
      </c>
    </row>
    <row r="222" spans="1:20">
      <c r="A222" s="182">
        <v>44678</v>
      </c>
      <c r="B222" s="183">
        <v>0.69635416666666661</v>
      </c>
      <c r="C222" s="184" t="s">
        <v>73</v>
      </c>
      <c r="D222" s="184" t="s">
        <v>68</v>
      </c>
      <c r="E222" s="184" t="s">
        <v>89</v>
      </c>
      <c r="F222" s="182">
        <v>44743</v>
      </c>
      <c r="G222" s="186" t="s">
        <v>99</v>
      </c>
      <c r="H222" s="184" t="s">
        <v>103</v>
      </c>
      <c r="T222" s="184" t="s">
        <v>284</v>
      </c>
    </row>
    <row r="223" spans="1:20">
      <c r="A223" s="182">
        <v>44678</v>
      </c>
      <c r="B223" s="183">
        <v>0.69730324074074079</v>
      </c>
      <c r="C223" s="184" t="s">
        <v>73</v>
      </c>
      <c r="D223" s="184" t="s">
        <v>68</v>
      </c>
      <c r="E223" s="184" t="s">
        <v>45</v>
      </c>
      <c r="F223" s="182">
        <v>44883</v>
      </c>
      <c r="G223" s="186" t="s">
        <v>99</v>
      </c>
      <c r="H223" s="184" t="s">
        <v>222</v>
      </c>
      <c r="T223" s="184" t="s">
        <v>284</v>
      </c>
    </row>
    <row r="224" spans="1:20">
      <c r="A224" s="182">
        <v>44679</v>
      </c>
      <c r="B224" s="183">
        <v>0.41122685185185182</v>
      </c>
      <c r="C224" s="184" t="s">
        <v>67</v>
      </c>
      <c r="D224" s="184" t="s">
        <v>91</v>
      </c>
      <c r="E224" s="184" t="s">
        <v>96</v>
      </c>
      <c r="F224" s="182">
        <v>44709</v>
      </c>
      <c r="G224" s="186" t="s">
        <v>94</v>
      </c>
      <c r="H224" s="184" t="s">
        <v>756</v>
      </c>
    </row>
    <row r="225" spans="1:20">
      <c r="A225" s="182">
        <v>44679</v>
      </c>
      <c r="B225" s="183">
        <v>0.58543981481481489</v>
      </c>
      <c r="C225" s="184" t="s">
        <v>67</v>
      </c>
      <c r="D225" s="184" t="s">
        <v>68</v>
      </c>
      <c r="E225" s="184" t="s">
        <v>85</v>
      </c>
      <c r="F225" s="182">
        <v>44708</v>
      </c>
      <c r="G225" s="186" t="s">
        <v>94</v>
      </c>
      <c r="H225" s="184" t="s">
        <v>182</v>
      </c>
      <c r="T225" s="184" t="s">
        <v>817</v>
      </c>
    </row>
    <row r="226" spans="1:20">
      <c r="A226" s="182">
        <v>44679</v>
      </c>
      <c r="B226" s="183">
        <v>0.61487268518518523</v>
      </c>
      <c r="C226" s="184" t="s">
        <v>67</v>
      </c>
      <c r="D226" s="184" t="s">
        <v>91</v>
      </c>
      <c r="E226" s="184" t="s">
        <v>96</v>
      </c>
      <c r="F226" s="182">
        <v>44709</v>
      </c>
      <c r="G226" s="186" t="s">
        <v>94</v>
      </c>
      <c r="H226" s="184" t="s">
        <v>777</v>
      </c>
    </row>
    <row r="227" spans="1:20">
      <c r="A227" s="182">
        <v>44687</v>
      </c>
      <c r="B227" s="183">
        <v>0.43582175925925926</v>
      </c>
      <c r="C227" s="184" t="s">
        <v>67</v>
      </c>
      <c r="D227" s="184" t="s">
        <v>68</v>
      </c>
      <c r="E227" s="184" t="s">
        <v>96</v>
      </c>
      <c r="F227" s="182">
        <v>44709</v>
      </c>
      <c r="G227" s="186" t="s">
        <v>94</v>
      </c>
      <c r="H227" s="184" t="s">
        <v>182</v>
      </c>
      <c r="T227" s="184" t="s">
        <v>818</v>
      </c>
    </row>
    <row r="228" spans="1:20">
      <c r="A228" s="182">
        <v>44687</v>
      </c>
      <c r="B228" s="183">
        <v>0.69643518518518521</v>
      </c>
      <c r="C228" s="184" t="s">
        <v>67</v>
      </c>
      <c r="D228" s="184" t="s">
        <v>91</v>
      </c>
      <c r="E228" s="184" t="s">
        <v>96</v>
      </c>
      <c r="F228" s="182">
        <v>44754</v>
      </c>
      <c r="G228" s="186" t="s">
        <v>70</v>
      </c>
      <c r="H228" s="184" t="s">
        <v>93</v>
      </c>
    </row>
    <row r="229" spans="1:20">
      <c r="A229" s="182">
        <v>44690</v>
      </c>
      <c r="B229" s="183">
        <v>0.3732638888888889</v>
      </c>
      <c r="C229" s="184" t="s">
        <v>67</v>
      </c>
      <c r="D229" s="184" t="s">
        <v>78</v>
      </c>
      <c r="E229" s="184" t="s">
        <v>69</v>
      </c>
      <c r="F229" s="182">
        <v>44729</v>
      </c>
      <c r="G229" s="186" t="s">
        <v>94</v>
      </c>
      <c r="H229" s="184" t="s">
        <v>107</v>
      </c>
    </row>
    <row r="230" spans="1:20">
      <c r="A230" s="182">
        <v>44690</v>
      </c>
      <c r="B230" s="183">
        <v>0.42663194444444441</v>
      </c>
      <c r="C230" s="184" t="s">
        <v>67</v>
      </c>
      <c r="D230" s="184" t="s">
        <v>68</v>
      </c>
      <c r="E230" s="184" t="s">
        <v>45</v>
      </c>
      <c r="F230" s="182">
        <v>44715</v>
      </c>
      <c r="G230" s="186" t="s">
        <v>114</v>
      </c>
      <c r="H230" s="184" t="s">
        <v>259</v>
      </c>
      <c r="T230" s="184" t="s">
        <v>819</v>
      </c>
    </row>
    <row r="231" spans="1:20">
      <c r="A231" s="182">
        <v>44690</v>
      </c>
      <c r="B231" s="183">
        <v>0.42958333333333337</v>
      </c>
      <c r="C231" s="184" t="s">
        <v>67</v>
      </c>
      <c r="D231" s="184" t="s">
        <v>78</v>
      </c>
      <c r="E231" s="184" t="s">
        <v>96</v>
      </c>
      <c r="F231" s="182">
        <v>44754</v>
      </c>
      <c r="G231" s="186" t="s">
        <v>114</v>
      </c>
      <c r="H231" s="184" t="s">
        <v>82</v>
      </c>
    </row>
    <row r="232" spans="1:20">
      <c r="A232" s="182">
        <v>44690</v>
      </c>
      <c r="B232" s="183">
        <v>0.42996527777777777</v>
      </c>
      <c r="C232" s="184" t="s">
        <v>67</v>
      </c>
      <c r="D232" s="184" t="s">
        <v>91</v>
      </c>
      <c r="E232" s="184" t="s">
        <v>96</v>
      </c>
      <c r="F232" s="182">
        <v>44709</v>
      </c>
      <c r="G232" s="186" t="s">
        <v>94</v>
      </c>
      <c r="H232" s="184" t="s">
        <v>788</v>
      </c>
    </row>
    <row r="233" spans="1:20">
      <c r="A233" s="182">
        <v>44690</v>
      </c>
      <c r="B233" s="183">
        <v>0.44552083333333337</v>
      </c>
      <c r="C233" s="184" t="s">
        <v>73</v>
      </c>
      <c r="D233" s="184" t="s">
        <v>68</v>
      </c>
      <c r="E233" s="184" t="s">
        <v>96</v>
      </c>
      <c r="F233" s="182">
        <v>44709</v>
      </c>
      <c r="G233" s="186" t="s">
        <v>94</v>
      </c>
      <c r="H233" s="184" t="s">
        <v>117</v>
      </c>
      <c r="T233" s="184" t="s">
        <v>820</v>
      </c>
    </row>
    <row r="234" spans="1:20">
      <c r="A234" s="182">
        <v>44690</v>
      </c>
      <c r="B234" s="183">
        <v>0.45111111111111107</v>
      </c>
      <c r="C234" s="184" t="s">
        <v>73</v>
      </c>
      <c r="D234" s="184" t="s">
        <v>68</v>
      </c>
      <c r="E234" s="184" t="s">
        <v>69</v>
      </c>
      <c r="F234" s="182">
        <v>44729</v>
      </c>
      <c r="G234" s="186" t="s">
        <v>114</v>
      </c>
      <c r="H234" s="184" t="s">
        <v>202</v>
      </c>
      <c r="T234" s="184" t="s">
        <v>821</v>
      </c>
    </row>
    <row r="235" spans="1:20">
      <c r="A235" s="182">
        <v>44690</v>
      </c>
      <c r="B235" s="183">
        <v>0.46126157407407403</v>
      </c>
      <c r="C235" s="184" t="s">
        <v>67</v>
      </c>
      <c r="D235" s="184" t="s">
        <v>68</v>
      </c>
      <c r="E235" s="184" t="s">
        <v>45</v>
      </c>
      <c r="F235" s="182">
        <v>44715</v>
      </c>
      <c r="G235" s="186" t="s">
        <v>99</v>
      </c>
      <c r="H235" s="184" t="s">
        <v>117</v>
      </c>
      <c r="T235" s="184" t="s">
        <v>819</v>
      </c>
    </row>
    <row r="236" spans="1:20">
      <c r="A236" s="182">
        <v>44690</v>
      </c>
      <c r="B236" s="183">
        <v>0.48868055555555556</v>
      </c>
      <c r="C236" s="184" t="s">
        <v>67</v>
      </c>
      <c r="D236" s="184" t="s">
        <v>68</v>
      </c>
      <c r="E236" s="184" t="s">
        <v>124</v>
      </c>
      <c r="F236" s="182">
        <v>44764</v>
      </c>
      <c r="G236" s="186" t="s">
        <v>114</v>
      </c>
      <c r="H236" s="184" t="s">
        <v>259</v>
      </c>
      <c r="T236" s="184" t="s">
        <v>234</v>
      </c>
    </row>
    <row r="237" spans="1:20">
      <c r="A237" s="182">
        <v>44690</v>
      </c>
      <c r="B237" s="183">
        <v>0.54942129629629632</v>
      </c>
      <c r="C237" s="184" t="s">
        <v>73</v>
      </c>
      <c r="D237" s="184" t="s">
        <v>68</v>
      </c>
      <c r="E237" s="184" t="s">
        <v>85</v>
      </c>
      <c r="F237" s="182">
        <v>44708</v>
      </c>
      <c r="G237" s="186" t="s">
        <v>94</v>
      </c>
      <c r="H237" s="184" t="s">
        <v>117</v>
      </c>
      <c r="T237" s="184" t="s">
        <v>822</v>
      </c>
    </row>
    <row r="238" spans="1:20">
      <c r="A238" s="182">
        <v>44690</v>
      </c>
      <c r="B238" s="183">
        <v>0.5715972222222222</v>
      </c>
      <c r="C238" s="184" t="s">
        <v>73</v>
      </c>
      <c r="D238" s="184" t="s">
        <v>68</v>
      </c>
      <c r="E238" s="184" t="s">
        <v>85</v>
      </c>
      <c r="F238" s="182">
        <v>44708</v>
      </c>
      <c r="G238" s="186" t="s">
        <v>94</v>
      </c>
      <c r="H238" s="184" t="s">
        <v>259</v>
      </c>
      <c r="T238" s="184" t="s">
        <v>823</v>
      </c>
    </row>
    <row r="239" spans="1:20">
      <c r="A239" s="182">
        <v>44691</v>
      </c>
      <c r="B239" s="183">
        <v>0.55295138888888895</v>
      </c>
      <c r="C239" s="184" t="s">
        <v>67</v>
      </c>
      <c r="D239" s="184" t="s">
        <v>78</v>
      </c>
      <c r="E239" s="184" t="s">
        <v>45</v>
      </c>
      <c r="F239" s="182">
        <v>44715</v>
      </c>
      <c r="G239" s="186" t="s">
        <v>112</v>
      </c>
      <c r="H239" s="184" t="s">
        <v>116</v>
      </c>
    </row>
    <row r="240" spans="1:20">
      <c r="A240" s="182">
        <v>44691</v>
      </c>
      <c r="B240" s="183">
        <v>0.55311342592592594</v>
      </c>
      <c r="C240" s="184" t="s">
        <v>67</v>
      </c>
      <c r="D240" s="184" t="s">
        <v>78</v>
      </c>
      <c r="E240" s="184" t="s">
        <v>19</v>
      </c>
      <c r="F240" s="182">
        <v>44742</v>
      </c>
      <c r="G240" s="186" t="s">
        <v>114</v>
      </c>
      <c r="H240" s="184" t="s">
        <v>80</v>
      </c>
    </row>
    <row r="241" spans="1:20">
      <c r="A241" s="182">
        <v>44691</v>
      </c>
      <c r="B241" s="183">
        <v>0.57570601851851855</v>
      </c>
      <c r="C241" s="184" t="s">
        <v>67</v>
      </c>
      <c r="D241" s="184" t="s">
        <v>68</v>
      </c>
      <c r="E241" s="184" t="s">
        <v>85</v>
      </c>
      <c r="F241" s="182">
        <v>44896</v>
      </c>
      <c r="G241" s="186" t="s">
        <v>70</v>
      </c>
      <c r="H241" s="184" t="s">
        <v>71</v>
      </c>
      <c r="T241" s="184" t="s">
        <v>824</v>
      </c>
    </row>
    <row r="242" spans="1:20">
      <c r="A242" s="182">
        <v>44691</v>
      </c>
      <c r="B242" s="183">
        <v>0.57604166666666667</v>
      </c>
      <c r="C242" s="184" t="s">
        <v>67</v>
      </c>
      <c r="D242" s="184" t="s">
        <v>68</v>
      </c>
      <c r="E242" s="184" t="s">
        <v>89</v>
      </c>
      <c r="F242" s="182">
        <v>44867</v>
      </c>
      <c r="G242" s="186" t="s">
        <v>70</v>
      </c>
      <c r="H242" s="184" t="s">
        <v>71</v>
      </c>
      <c r="T242" s="184" t="s">
        <v>824</v>
      </c>
    </row>
    <row r="243" spans="1:20">
      <c r="A243" s="182">
        <v>44691</v>
      </c>
      <c r="B243" s="183">
        <v>0.64686342592592594</v>
      </c>
      <c r="C243" s="184" t="s">
        <v>67</v>
      </c>
      <c r="D243" s="184" t="s">
        <v>78</v>
      </c>
      <c r="E243" s="184" t="s">
        <v>45</v>
      </c>
      <c r="F243" s="182">
        <v>44821</v>
      </c>
      <c r="G243" s="186" t="s">
        <v>70</v>
      </c>
      <c r="H243" s="184" t="s">
        <v>86</v>
      </c>
    </row>
    <row r="244" spans="1:20">
      <c r="A244" s="182">
        <v>44691</v>
      </c>
      <c r="B244" s="183">
        <v>0.64703703703703697</v>
      </c>
      <c r="C244" s="184" t="s">
        <v>67</v>
      </c>
      <c r="D244" s="184" t="s">
        <v>78</v>
      </c>
      <c r="E244" s="184" t="s">
        <v>19</v>
      </c>
      <c r="F244" s="182">
        <v>44847</v>
      </c>
      <c r="G244" s="186" t="s">
        <v>94</v>
      </c>
      <c r="H244" s="184" t="s">
        <v>113</v>
      </c>
    </row>
    <row r="245" spans="1:20">
      <c r="A245" s="182">
        <v>44692</v>
      </c>
      <c r="B245" s="183">
        <v>0.39863425925925927</v>
      </c>
      <c r="C245" s="184" t="s">
        <v>73</v>
      </c>
      <c r="D245" s="184" t="s">
        <v>78</v>
      </c>
      <c r="E245" s="184" t="s">
        <v>89</v>
      </c>
      <c r="F245" s="182">
        <v>44743</v>
      </c>
      <c r="G245" s="186" t="s">
        <v>94</v>
      </c>
      <c r="H245" s="184" t="s">
        <v>106</v>
      </c>
    </row>
    <row r="246" spans="1:20">
      <c r="A246" s="182">
        <v>44692</v>
      </c>
      <c r="B246" s="183">
        <v>0.44166666666666665</v>
      </c>
      <c r="C246" s="184" t="s">
        <v>67</v>
      </c>
      <c r="D246" s="184" t="s">
        <v>68</v>
      </c>
      <c r="E246" s="184" t="s">
        <v>95</v>
      </c>
      <c r="F246" s="182">
        <v>44697</v>
      </c>
      <c r="G246" s="186" t="s">
        <v>99</v>
      </c>
      <c r="H246" s="184" t="s">
        <v>256</v>
      </c>
      <c r="T246" s="184" t="s">
        <v>747</v>
      </c>
    </row>
    <row r="247" spans="1:20">
      <c r="A247" s="182">
        <v>44692</v>
      </c>
      <c r="B247" s="183">
        <v>0.48873842592592592</v>
      </c>
      <c r="C247" s="184" t="s">
        <v>67</v>
      </c>
      <c r="D247" s="184" t="s">
        <v>78</v>
      </c>
      <c r="E247" s="184" t="s">
        <v>69</v>
      </c>
      <c r="F247" s="182">
        <v>44697</v>
      </c>
      <c r="G247" s="186" t="s">
        <v>115</v>
      </c>
      <c r="H247" s="184" t="s">
        <v>288</v>
      </c>
    </row>
    <row r="248" spans="1:20">
      <c r="A248" s="182">
        <v>44692</v>
      </c>
      <c r="B248" s="183">
        <v>0.49615740740740738</v>
      </c>
      <c r="C248" s="184" t="s">
        <v>73</v>
      </c>
      <c r="D248" s="184" t="s">
        <v>68</v>
      </c>
      <c r="E248" s="184" t="s">
        <v>69</v>
      </c>
      <c r="F248" s="182">
        <v>44697</v>
      </c>
      <c r="G248" s="186" t="s">
        <v>99</v>
      </c>
      <c r="H248" s="184" t="s">
        <v>101</v>
      </c>
    </row>
    <row r="249" spans="1:20">
      <c r="A249" s="182">
        <v>44693</v>
      </c>
      <c r="B249" s="183">
        <v>0.44130787037037034</v>
      </c>
      <c r="C249" s="184" t="s">
        <v>73</v>
      </c>
      <c r="D249" s="184" t="s">
        <v>78</v>
      </c>
      <c r="E249" s="184" t="s">
        <v>96</v>
      </c>
      <c r="F249" s="182">
        <v>44709</v>
      </c>
      <c r="G249" s="186" t="s">
        <v>99</v>
      </c>
      <c r="H249" s="184" t="s">
        <v>86</v>
      </c>
    </row>
    <row r="250" spans="1:20">
      <c r="A250" s="182">
        <v>44693</v>
      </c>
      <c r="B250" s="183">
        <v>0.54166666666666663</v>
      </c>
      <c r="C250" s="184" t="s">
        <v>67</v>
      </c>
      <c r="D250" s="184" t="s">
        <v>91</v>
      </c>
      <c r="E250" s="184" t="s">
        <v>96</v>
      </c>
      <c r="F250" s="182">
        <v>44709</v>
      </c>
      <c r="G250" s="186" t="s">
        <v>94</v>
      </c>
      <c r="H250" s="184" t="s">
        <v>794</v>
      </c>
    </row>
    <row r="251" spans="1:20">
      <c r="A251" s="182">
        <v>44693</v>
      </c>
      <c r="B251" s="183">
        <v>0.55021990740740734</v>
      </c>
      <c r="C251" s="184" t="s">
        <v>73</v>
      </c>
      <c r="D251" s="184" t="s">
        <v>68</v>
      </c>
      <c r="E251" s="184" t="s">
        <v>95</v>
      </c>
      <c r="F251" s="182">
        <v>44697</v>
      </c>
      <c r="G251" s="186" t="s">
        <v>99</v>
      </c>
      <c r="H251" s="184" t="s">
        <v>260</v>
      </c>
      <c r="T251" s="184" t="s">
        <v>825</v>
      </c>
    </row>
    <row r="252" spans="1:20">
      <c r="A252" s="182">
        <v>44693</v>
      </c>
      <c r="B252" s="183">
        <v>0.58497685185185189</v>
      </c>
      <c r="C252" s="184" t="s">
        <v>73</v>
      </c>
      <c r="D252" s="184" t="s">
        <v>68</v>
      </c>
      <c r="E252" s="184" t="s">
        <v>19</v>
      </c>
      <c r="F252" s="182">
        <v>44742</v>
      </c>
      <c r="G252" s="186" t="s">
        <v>94</v>
      </c>
      <c r="H252" s="184" t="s">
        <v>322</v>
      </c>
      <c r="T252" s="184" t="s">
        <v>645</v>
      </c>
    </row>
    <row r="253" spans="1:20">
      <c r="A253" s="182">
        <v>44693</v>
      </c>
      <c r="B253" s="183">
        <v>0.60561342592592593</v>
      </c>
      <c r="C253" s="184" t="s">
        <v>67</v>
      </c>
      <c r="D253" s="184" t="s">
        <v>68</v>
      </c>
      <c r="E253" s="184" t="s">
        <v>19</v>
      </c>
      <c r="F253" s="182">
        <v>44742</v>
      </c>
      <c r="G253" s="186" t="s">
        <v>115</v>
      </c>
      <c r="H253" s="184" t="s">
        <v>256</v>
      </c>
      <c r="T253" s="184" t="s">
        <v>826</v>
      </c>
    </row>
    <row r="254" spans="1:20">
      <c r="A254" s="182">
        <v>44693</v>
      </c>
      <c r="B254" s="183">
        <v>0.63328703703703704</v>
      </c>
      <c r="C254" s="184" t="s">
        <v>67</v>
      </c>
      <c r="D254" s="184" t="s">
        <v>68</v>
      </c>
      <c r="E254" s="184" t="s">
        <v>96</v>
      </c>
      <c r="F254" s="182">
        <v>44709</v>
      </c>
      <c r="G254" s="186" t="s">
        <v>114</v>
      </c>
      <c r="H254" s="184" t="s">
        <v>273</v>
      </c>
      <c r="T254" s="184" t="s">
        <v>827</v>
      </c>
    </row>
    <row r="255" spans="1:20">
      <c r="A255" s="182">
        <v>44694</v>
      </c>
      <c r="B255" s="183">
        <v>0.38538194444444446</v>
      </c>
      <c r="C255" s="184" t="s">
        <v>67</v>
      </c>
      <c r="D255" s="184" t="s">
        <v>68</v>
      </c>
      <c r="E255" s="184" t="s">
        <v>45</v>
      </c>
      <c r="F255" s="182">
        <v>44715</v>
      </c>
      <c r="G255" s="186" t="s">
        <v>114</v>
      </c>
      <c r="H255" s="184" t="s">
        <v>273</v>
      </c>
      <c r="T255" s="184" t="s">
        <v>828</v>
      </c>
    </row>
    <row r="256" spans="1:20">
      <c r="A256" s="182">
        <v>44694</v>
      </c>
      <c r="B256" s="183">
        <v>0.57168981481481485</v>
      </c>
      <c r="C256" s="184" t="s">
        <v>73</v>
      </c>
      <c r="D256" s="184" t="s">
        <v>68</v>
      </c>
      <c r="E256" s="184" t="s">
        <v>89</v>
      </c>
      <c r="F256" s="182">
        <v>44743</v>
      </c>
      <c r="G256" s="186" t="s">
        <v>114</v>
      </c>
      <c r="H256" s="184" t="s">
        <v>117</v>
      </c>
      <c r="T256" s="184" t="s">
        <v>829</v>
      </c>
    </row>
    <row r="257" spans="1:20">
      <c r="A257" s="182">
        <v>44694</v>
      </c>
      <c r="B257" s="183">
        <v>0.57407407407407407</v>
      </c>
      <c r="C257" s="184" t="s">
        <v>73</v>
      </c>
      <c r="D257" s="184" t="s">
        <v>68</v>
      </c>
      <c r="E257" s="184" t="s">
        <v>89</v>
      </c>
      <c r="F257" s="182">
        <v>44743</v>
      </c>
      <c r="G257" s="186" t="s">
        <v>99</v>
      </c>
      <c r="H257" s="184" t="s">
        <v>182</v>
      </c>
      <c r="T257" s="184" t="s">
        <v>829</v>
      </c>
    </row>
    <row r="258" spans="1:20">
      <c r="A258" s="182">
        <v>44694</v>
      </c>
      <c r="B258" s="183">
        <v>0.64958333333333329</v>
      </c>
      <c r="C258" s="184" t="s">
        <v>73</v>
      </c>
      <c r="D258" s="184" t="s">
        <v>68</v>
      </c>
      <c r="E258" s="184" t="s">
        <v>45</v>
      </c>
      <c r="F258" s="182">
        <v>44715</v>
      </c>
      <c r="G258" s="186" t="s">
        <v>94</v>
      </c>
      <c r="H258" s="184" t="s">
        <v>261</v>
      </c>
      <c r="T258" s="184" t="s">
        <v>830</v>
      </c>
    </row>
    <row r="259" spans="1:20">
      <c r="A259" s="182">
        <v>44694</v>
      </c>
      <c r="B259" s="183">
        <v>0.65710648148148143</v>
      </c>
      <c r="C259" s="184" t="s">
        <v>73</v>
      </c>
      <c r="D259" s="184" t="s">
        <v>68</v>
      </c>
      <c r="E259" s="184" t="s">
        <v>85</v>
      </c>
      <c r="F259" s="182">
        <v>44761</v>
      </c>
      <c r="G259" s="186" t="s">
        <v>75</v>
      </c>
      <c r="H259" s="184" t="s">
        <v>76</v>
      </c>
      <c r="T259" s="184" t="s">
        <v>570</v>
      </c>
    </row>
    <row r="260" spans="1:20">
      <c r="A260" s="182">
        <v>44694</v>
      </c>
      <c r="B260" s="183">
        <v>0.6584606481481482</v>
      </c>
      <c r="C260" s="184" t="s">
        <v>73</v>
      </c>
      <c r="D260" s="184" t="s">
        <v>68</v>
      </c>
      <c r="E260" s="184" t="s">
        <v>69</v>
      </c>
      <c r="F260" s="182">
        <v>44729</v>
      </c>
      <c r="G260" s="186" t="s">
        <v>112</v>
      </c>
      <c r="H260" s="184" t="s">
        <v>600</v>
      </c>
      <c r="T260" s="184" t="s">
        <v>570</v>
      </c>
    </row>
    <row r="261" spans="1:20">
      <c r="A261" s="182">
        <v>44694</v>
      </c>
      <c r="B261" s="183">
        <v>0.6749074074074074</v>
      </c>
      <c r="C261" s="184" t="s">
        <v>73</v>
      </c>
      <c r="D261" s="184" t="s">
        <v>68</v>
      </c>
      <c r="E261" s="184" t="s">
        <v>19</v>
      </c>
      <c r="F261" s="182">
        <v>44742</v>
      </c>
      <c r="G261" s="186" t="s">
        <v>94</v>
      </c>
      <c r="H261" s="184" t="s">
        <v>305</v>
      </c>
      <c r="T261" s="184" t="s">
        <v>420</v>
      </c>
    </row>
    <row r="262" spans="1:20">
      <c r="A262" s="182">
        <v>44694</v>
      </c>
      <c r="B262" s="183">
        <v>0.69760416666666669</v>
      </c>
      <c r="C262" s="184" t="s">
        <v>73</v>
      </c>
      <c r="D262" s="184" t="s">
        <v>68</v>
      </c>
      <c r="E262" s="184" t="s">
        <v>69</v>
      </c>
      <c r="F262" s="182">
        <v>44729</v>
      </c>
      <c r="G262" s="186" t="s">
        <v>160</v>
      </c>
      <c r="H262" s="184" t="s">
        <v>202</v>
      </c>
      <c r="T262" s="184" t="s">
        <v>570</v>
      </c>
    </row>
    <row r="263" spans="1:20">
      <c r="A263" s="182">
        <v>44694</v>
      </c>
      <c r="B263" s="183">
        <v>0.69827546296296295</v>
      </c>
      <c r="C263" s="184" t="s">
        <v>73</v>
      </c>
      <c r="D263" s="184" t="s">
        <v>68</v>
      </c>
      <c r="E263" s="184" t="s">
        <v>69</v>
      </c>
      <c r="F263" s="182">
        <v>44751</v>
      </c>
      <c r="G263" s="186" t="s">
        <v>105</v>
      </c>
      <c r="H263" s="184" t="s">
        <v>87</v>
      </c>
      <c r="T263" s="184" t="s">
        <v>570</v>
      </c>
    </row>
    <row r="264" spans="1:20">
      <c r="A264" s="182">
        <v>44697</v>
      </c>
      <c r="B264" s="183">
        <v>0.47721064814814818</v>
      </c>
      <c r="C264" s="184" t="s">
        <v>67</v>
      </c>
      <c r="D264" s="184" t="s">
        <v>68</v>
      </c>
      <c r="E264" s="184" t="s">
        <v>85</v>
      </c>
      <c r="F264" s="182">
        <v>44708</v>
      </c>
      <c r="G264" s="186" t="s">
        <v>94</v>
      </c>
      <c r="H264" s="184" t="s">
        <v>273</v>
      </c>
      <c r="T264" s="184" t="s">
        <v>374</v>
      </c>
    </row>
    <row r="265" spans="1:20">
      <c r="A265" s="182">
        <v>44697</v>
      </c>
      <c r="B265" s="183">
        <v>0.48569444444444443</v>
      </c>
      <c r="C265" s="184" t="s">
        <v>73</v>
      </c>
      <c r="D265" s="184" t="s">
        <v>68</v>
      </c>
      <c r="E265" s="184" t="s">
        <v>69</v>
      </c>
      <c r="F265" s="182">
        <v>44729</v>
      </c>
      <c r="G265" s="186" t="s">
        <v>178</v>
      </c>
      <c r="H265" s="184" t="s">
        <v>187</v>
      </c>
      <c r="T265" s="184" t="s">
        <v>798</v>
      </c>
    </row>
    <row r="266" spans="1:20">
      <c r="A266" s="182">
        <v>44697</v>
      </c>
      <c r="B266" s="183">
        <v>0.48746527777777776</v>
      </c>
      <c r="C266" s="184" t="s">
        <v>73</v>
      </c>
      <c r="D266" s="184" t="s">
        <v>78</v>
      </c>
      <c r="E266" s="184" t="s">
        <v>19</v>
      </c>
      <c r="F266" s="182">
        <v>44742</v>
      </c>
      <c r="G266" s="186" t="s">
        <v>114</v>
      </c>
      <c r="H266" s="184" t="s">
        <v>116</v>
      </c>
    </row>
    <row r="267" spans="1:20">
      <c r="A267" s="182">
        <v>44697</v>
      </c>
      <c r="B267" s="183">
        <v>0.49124999999999996</v>
      </c>
      <c r="C267" s="184" t="s">
        <v>73</v>
      </c>
      <c r="D267" s="184" t="s">
        <v>91</v>
      </c>
      <c r="E267" s="184" t="s">
        <v>69</v>
      </c>
      <c r="F267" s="182">
        <v>44729</v>
      </c>
      <c r="G267" s="186" t="s">
        <v>75</v>
      </c>
      <c r="H267" s="184" t="s">
        <v>92</v>
      </c>
    </row>
    <row r="268" spans="1:20">
      <c r="A268" s="182">
        <v>44697</v>
      </c>
      <c r="B268" s="183">
        <v>0.67350694444444448</v>
      </c>
      <c r="C268" s="184" t="s">
        <v>67</v>
      </c>
      <c r="D268" s="184" t="s">
        <v>68</v>
      </c>
      <c r="E268" s="184" t="s">
        <v>96</v>
      </c>
      <c r="F268" s="182">
        <v>44754</v>
      </c>
      <c r="G268" s="186" t="s">
        <v>94</v>
      </c>
      <c r="H268" s="184" t="s">
        <v>239</v>
      </c>
      <c r="T268" s="184" t="s">
        <v>428</v>
      </c>
    </row>
    <row r="269" spans="1:20">
      <c r="A269" s="182">
        <v>44698</v>
      </c>
      <c r="B269" s="183">
        <v>0.41348379629629628</v>
      </c>
      <c r="C269" s="184" t="s">
        <v>67</v>
      </c>
      <c r="D269" s="184" t="s">
        <v>91</v>
      </c>
      <c r="E269" s="184" t="s">
        <v>204</v>
      </c>
      <c r="F269" s="182">
        <v>44719</v>
      </c>
      <c r="G269" s="186" t="s">
        <v>94</v>
      </c>
      <c r="H269" s="184" t="s">
        <v>227</v>
      </c>
    </row>
    <row r="270" spans="1:20">
      <c r="A270" s="182">
        <v>44698</v>
      </c>
      <c r="B270" s="183">
        <v>0.41375000000000001</v>
      </c>
      <c r="C270" s="184" t="s">
        <v>67</v>
      </c>
      <c r="D270" s="184" t="s">
        <v>78</v>
      </c>
      <c r="E270" s="184" t="s">
        <v>19</v>
      </c>
      <c r="F270" s="182">
        <v>44742</v>
      </c>
      <c r="G270" s="186" t="s">
        <v>94</v>
      </c>
      <c r="H270" s="184" t="s">
        <v>84</v>
      </c>
    </row>
    <row r="271" spans="1:20">
      <c r="A271" s="182">
        <v>44698</v>
      </c>
      <c r="B271" s="183">
        <v>0.48356481481481484</v>
      </c>
      <c r="C271" s="184" t="s">
        <v>67</v>
      </c>
      <c r="D271" s="184" t="s">
        <v>91</v>
      </c>
      <c r="E271" s="184" t="s">
        <v>19</v>
      </c>
      <c r="F271" s="182">
        <v>44742</v>
      </c>
      <c r="G271" s="186" t="s">
        <v>94</v>
      </c>
      <c r="H271" s="184" t="s">
        <v>285</v>
      </c>
    </row>
    <row r="272" spans="1:20">
      <c r="A272" s="182">
        <v>44698</v>
      </c>
      <c r="B272" s="183">
        <v>0.48395833333333332</v>
      </c>
      <c r="C272" s="184" t="s">
        <v>67</v>
      </c>
      <c r="D272" s="184" t="s">
        <v>78</v>
      </c>
      <c r="E272" s="184" t="s">
        <v>45</v>
      </c>
      <c r="F272" s="182">
        <v>44821</v>
      </c>
      <c r="G272" s="186" t="s">
        <v>94</v>
      </c>
      <c r="H272" s="184" t="s">
        <v>107</v>
      </c>
    </row>
    <row r="273" spans="1:20">
      <c r="A273" s="182">
        <v>44698</v>
      </c>
      <c r="B273" s="183">
        <v>0.68013888888888896</v>
      </c>
      <c r="C273" s="184" t="s">
        <v>67</v>
      </c>
      <c r="D273" s="184" t="s">
        <v>91</v>
      </c>
      <c r="E273" s="184" t="s">
        <v>85</v>
      </c>
      <c r="F273" s="182">
        <v>44708</v>
      </c>
      <c r="G273" s="186" t="s">
        <v>94</v>
      </c>
      <c r="H273" s="184" t="s">
        <v>227</v>
      </c>
    </row>
    <row r="274" spans="1:20">
      <c r="A274" s="182">
        <v>44698</v>
      </c>
      <c r="B274" s="183">
        <v>0.68238425925925927</v>
      </c>
      <c r="C274" s="184" t="s">
        <v>67</v>
      </c>
      <c r="D274" s="184" t="s">
        <v>68</v>
      </c>
      <c r="E274" s="184" t="s">
        <v>89</v>
      </c>
      <c r="F274" s="182">
        <v>44743</v>
      </c>
      <c r="G274" s="186" t="s">
        <v>94</v>
      </c>
      <c r="H274" s="184" t="s">
        <v>117</v>
      </c>
      <c r="T274" s="184" t="s">
        <v>831</v>
      </c>
    </row>
    <row r="275" spans="1:20">
      <c r="A275" s="182">
        <v>44699</v>
      </c>
      <c r="B275" s="183">
        <v>0.36901620370370369</v>
      </c>
      <c r="C275" s="184" t="s">
        <v>67</v>
      </c>
      <c r="D275" s="184" t="s">
        <v>68</v>
      </c>
      <c r="E275" s="184" t="s">
        <v>85</v>
      </c>
      <c r="F275" s="182">
        <v>44708</v>
      </c>
      <c r="G275" s="186" t="s">
        <v>94</v>
      </c>
      <c r="H275" s="184" t="s">
        <v>261</v>
      </c>
      <c r="T275" s="184" t="s">
        <v>832</v>
      </c>
    </row>
    <row r="276" spans="1:20">
      <c r="A276" s="182">
        <v>44699</v>
      </c>
      <c r="B276" s="183">
        <v>0.41508101851851853</v>
      </c>
      <c r="C276" s="184" t="s">
        <v>73</v>
      </c>
      <c r="D276" s="184" t="s">
        <v>68</v>
      </c>
      <c r="E276" s="184" t="s">
        <v>45</v>
      </c>
      <c r="F276" s="182">
        <v>44715</v>
      </c>
      <c r="G276" s="186" t="s">
        <v>94</v>
      </c>
      <c r="H276" s="184" t="s">
        <v>260</v>
      </c>
      <c r="T276" s="184" t="s">
        <v>833</v>
      </c>
    </row>
    <row r="277" spans="1:20">
      <c r="A277" s="182">
        <v>44699</v>
      </c>
      <c r="B277" s="183">
        <v>0.59769675925925925</v>
      </c>
      <c r="C277" s="184" t="s">
        <v>67</v>
      </c>
      <c r="D277" s="184" t="s">
        <v>78</v>
      </c>
      <c r="E277" s="184" t="s">
        <v>45</v>
      </c>
      <c r="F277" s="182">
        <v>44715</v>
      </c>
      <c r="G277" s="186" t="s">
        <v>94</v>
      </c>
      <c r="H277" s="184" t="s">
        <v>84</v>
      </c>
    </row>
    <row r="278" spans="1:20">
      <c r="A278" s="182">
        <v>44699</v>
      </c>
      <c r="B278" s="183">
        <v>0.59795138888888888</v>
      </c>
      <c r="C278" s="184" t="s">
        <v>67</v>
      </c>
      <c r="D278" s="184" t="s">
        <v>78</v>
      </c>
      <c r="E278" s="184" t="s">
        <v>19</v>
      </c>
      <c r="F278" s="182">
        <v>44742</v>
      </c>
      <c r="G278" s="186" t="s">
        <v>94</v>
      </c>
      <c r="H278" s="184" t="s">
        <v>297</v>
      </c>
    </row>
    <row r="279" spans="1:20">
      <c r="A279" s="182">
        <v>44700</v>
      </c>
      <c r="B279" s="183">
        <v>0.52410879629629636</v>
      </c>
      <c r="C279" s="184" t="s">
        <v>73</v>
      </c>
      <c r="D279" s="184" t="s">
        <v>78</v>
      </c>
      <c r="E279" s="184" t="s">
        <v>19</v>
      </c>
      <c r="F279" s="182">
        <v>44742</v>
      </c>
      <c r="G279" s="186" t="s">
        <v>94</v>
      </c>
      <c r="H279" s="184" t="s">
        <v>280</v>
      </c>
    </row>
    <row r="280" spans="1:20">
      <c r="A280" s="182">
        <v>44700</v>
      </c>
      <c r="B280" s="183">
        <v>0.55939814814814814</v>
      </c>
      <c r="C280" s="184" t="s">
        <v>67</v>
      </c>
      <c r="D280" s="184" t="s">
        <v>68</v>
      </c>
      <c r="E280" s="184" t="s">
        <v>89</v>
      </c>
      <c r="F280" s="182">
        <v>44743</v>
      </c>
      <c r="G280" s="186" t="s">
        <v>94</v>
      </c>
      <c r="H280" s="184" t="s">
        <v>259</v>
      </c>
      <c r="T280" s="184" t="s">
        <v>834</v>
      </c>
    </row>
    <row r="281" spans="1:20">
      <c r="A281" s="182">
        <v>44700</v>
      </c>
      <c r="B281" s="183">
        <v>0.58549768518518519</v>
      </c>
      <c r="C281" s="184" t="s">
        <v>73</v>
      </c>
      <c r="D281" s="184" t="s">
        <v>68</v>
      </c>
      <c r="E281" s="184" t="s">
        <v>96</v>
      </c>
      <c r="F281" s="182">
        <v>44826</v>
      </c>
      <c r="G281" s="186" t="s">
        <v>70</v>
      </c>
      <c r="H281" s="184" t="s">
        <v>71</v>
      </c>
      <c r="T281" s="184" t="s">
        <v>835</v>
      </c>
    </row>
    <row r="282" spans="1:20">
      <c r="A282" s="182">
        <v>44700</v>
      </c>
      <c r="B282" s="183">
        <v>0.59274305555555562</v>
      </c>
      <c r="C282" s="184" t="s">
        <v>73</v>
      </c>
      <c r="D282" s="184" t="s">
        <v>68</v>
      </c>
      <c r="E282" s="184" t="s">
        <v>85</v>
      </c>
      <c r="F282" s="182">
        <v>44708</v>
      </c>
      <c r="G282" s="186" t="s">
        <v>94</v>
      </c>
      <c r="H282" s="184" t="s">
        <v>260</v>
      </c>
      <c r="T282" s="184" t="s">
        <v>836</v>
      </c>
    </row>
    <row r="283" spans="1:20">
      <c r="A283" s="182">
        <v>44700</v>
      </c>
      <c r="B283" s="183">
        <v>0.60226851851851848</v>
      </c>
      <c r="C283" s="184" t="s">
        <v>73</v>
      </c>
      <c r="D283" s="184" t="s">
        <v>68</v>
      </c>
      <c r="E283" s="184" t="s">
        <v>19</v>
      </c>
      <c r="F283" s="182">
        <v>44742</v>
      </c>
      <c r="G283" s="186" t="s">
        <v>114</v>
      </c>
      <c r="H283" s="184" t="s">
        <v>185</v>
      </c>
      <c r="T283" s="184" t="s">
        <v>837</v>
      </c>
    </row>
    <row r="284" spans="1:20">
      <c r="A284" s="182">
        <v>44701</v>
      </c>
      <c r="B284" s="183">
        <v>0.38693287037037033</v>
      </c>
      <c r="C284" s="184" t="s">
        <v>67</v>
      </c>
      <c r="D284" s="184" t="s">
        <v>78</v>
      </c>
      <c r="E284" s="184" t="s">
        <v>45</v>
      </c>
      <c r="F284" s="182">
        <v>44715</v>
      </c>
      <c r="G284" s="186" t="s">
        <v>114</v>
      </c>
      <c r="H284" s="184" t="s">
        <v>280</v>
      </c>
    </row>
    <row r="285" spans="1:20">
      <c r="A285" s="182">
        <v>44701</v>
      </c>
      <c r="B285" s="183">
        <v>0.38724537037037038</v>
      </c>
      <c r="C285" s="184" t="s">
        <v>67</v>
      </c>
      <c r="D285" s="184" t="s">
        <v>78</v>
      </c>
      <c r="E285" s="184" t="s">
        <v>19</v>
      </c>
      <c r="F285" s="182">
        <v>44742</v>
      </c>
      <c r="G285" s="186" t="s">
        <v>114</v>
      </c>
      <c r="H285" s="184" t="s">
        <v>208</v>
      </c>
    </row>
    <row r="286" spans="1:20">
      <c r="A286" s="182">
        <v>44701</v>
      </c>
      <c r="B286" s="183">
        <v>0.39849537037037036</v>
      </c>
      <c r="C286" s="184" t="s">
        <v>67</v>
      </c>
      <c r="D286" s="184" t="s">
        <v>68</v>
      </c>
      <c r="E286" s="184" t="s">
        <v>19</v>
      </c>
      <c r="F286" s="182">
        <v>44742</v>
      </c>
      <c r="G286" s="186" t="s">
        <v>112</v>
      </c>
      <c r="H286" s="184" t="s">
        <v>206</v>
      </c>
      <c r="T286" s="184" t="s">
        <v>307</v>
      </c>
    </row>
    <row r="287" spans="1:20">
      <c r="A287" s="182">
        <v>44701</v>
      </c>
      <c r="B287" s="183">
        <v>0.46593749999999995</v>
      </c>
      <c r="C287" s="184" t="s">
        <v>67</v>
      </c>
      <c r="D287" s="184" t="s">
        <v>68</v>
      </c>
      <c r="E287" s="184" t="s">
        <v>45</v>
      </c>
      <c r="F287" s="182">
        <v>44715</v>
      </c>
      <c r="G287" s="186" t="s">
        <v>94</v>
      </c>
      <c r="H287" s="184" t="s">
        <v>256</v>
      </c>
      <c r="T287" s="184" t="s">
        <v>838</v>
      </c>
    </row>
    <row r="288" spans="1:20">
      <c r="A288" s="182">
        <v>44701</v>
      </c>
      <c r="B288" s="183">
        <v>0.6966782407407407</v>
      </c>
      <c r="C288" s="184" t="s">
        <v>67</v>
      </c>
      <c r="D288" s="184" t="s">
        <v>91</v>
      </c>
      <c r="E288" s="184" t="s">
        <v>45</v>
      </c>
      <c r="F288" s="182">
        <v>44715</v>
      </c>
      <c r="G288" s="186" t="s">
        <v>70</v>
      </c>
      <c r="H288" s="184" t="s">
        <v>93</v>
      </c>
    </row>
    <row r="289" spans="1:20">
      <c r="A289" s="182">
        <v>44704</v>
      </c>
      <c r="B289" s="183">
        <v>0.38467592592592598</v>
      </c>
      <c r="C289" s="184" t="s">
        <v>73</v>
      </c>
      <c r="D289" s="184" t="s">
        <v>68</v>
      </c>
      <c r="E289" s="184" t="s">
        <v>45</v>
      </c>
      <c r="F289" s="182">
        <v>44715</v>
      </c>
      <c r="G289" s="186" t="s">
        <v>94</v>
      </c>
      <c r="H289" s="184" t="s">
        <v>305</v>
      </c>
      <c r="T289" s="184" t="s">
        <v>839</v>
      </c>
    </row>
    <row r="290" spans="1:20">
      <c r="A290" s="182">
        <v>44704</v>
      </c>
      <c r="B290" s="183">
        <v>0.38738425925925929</v>
      </c>
      <c r="C290" s="184" t="s">
        <v>73</v>
      </c>
      <c r="D290" s="184" t="s">
        <v>78</v>
      </c>
      <c r="E290" s="184" t="s">
        <v>96</v>
      </c>
      <c r="F290" s="182">
        <v>44754</v>
      </c>
      <c r="G290" s="186" t="s">
        <v>94</v>
      </c>
      <c r="H290" s="184" t="s">
        <v>80</v>
      </c>
    </row>
    <row r="291" spans="1:20">
      <c r="A291" s="182">
        <v>44704</v>
      </c>
      <c r="B291" s="183">
        <v>0.43868055555555552</v>
      </c>
      <c r="C291" s="184" t="s">
        <v>73</v>
      </c>
      <c r="D291" s="184" t="s">
        <v>68</v>
      </c>
      <c r="E291" s="184" t="s">
        <v>96</v>
      </c>
      <c r="F291" s="182">
        <v>44754</v>
      </c>
      <c r="G291" s="186" t="s">
        <v>94</v>
      </c>
      <c r="H291" s="184" t="s">
        <v>241</v>
      </c>
      <c r="T291" s="184" t="s">
        <v>673</v>
      </c>
    </row>
    <row r="292" spans="1:20">
      <c r="A292" s="182">
        <v>44704</v>
      </c>
      <c r="B292" s="183">
        <v>0.45572916666666669</v>
      </c>
      <c r="C292" s="184" t="s">
        <v>67</v>
      </c>
      <c r="D292" s="184" t="s">
        <v>68</v>
      </c>
      <c r="E292" s="184" t="s">
        <v>124</v>
      </c>
      <c r="F292" s="182">
        <v>44764</v>
      </c>
      <c r="G292" s="186" t="s">
        <v>94</v>
      </c>
      <c r="H292" s="184" t="s">
        <v>273</v>
      </c>
      <c r="T292" s="184" t="s">
        <v>630</v>
      </c>
    </row>
    <row r="293" spans="1:20">
      <c r="A293" s="182">
        <v>44704</v>
      </c>
      <c r="B293" s="183">
        <v>0.46079861111111109</v>
      </c>
      <c r="C293" s="184" t="s">
        <v>67</v>
      </c>
      <c r="D293" s="184" t="s">
        <v>78</v>
      </c>
      <c r="E293" s="184" t="s">
        <v>69</v>
      </c>
      <c r="F293" s="182">
        <v>44729</v>
      </c>
      <c r="G293" s="186" t="s">
        <v>94</v>
      </c>
      <c r="H293" s="184" t="s">
        <v>106</v>
      </c>
    </row>
    <row r="294" spans="1:20">
      <c r="A294" s="182">
        <v>44704</v>
      </c>
      <c r="B294" s="183">
        <v>0.57326388888888891</v>
      </c>
      <c r="C294" s="184" t="s">
        <v>73</v>
      </c>
      <c r="D294" s="184" t="s">
        <v>68</v>
      </c>
      <c r="E294" s="184" t="s">
        <v>204</v>
      </c>
      <c r="F294" s="182">
        <v>44719</v>
      </c>
      <c r="G294" s="186" t="s">
        <v>99</v>
      </c>
      <c r="H294" s="184" t="s">
        <v>76</v>
      </c>
      <c r="T294" s="184" t="s">
        <v>713</v>
      </c>
    </row>
    <row r="295" spans="1:20">
      <c r="A295" s="182">
        <v>44704</v>
      </c>
      <c r="B295" s="183">
        <v>0.57400462962962961</v>
      </c>
      <c r="C295" s="184" t="s">
        <v>73</v>
      </c>
      <c r="D295" s="184" t="s">
        <v>68</v>
      </c>
      <c r="E295" s="184" t="s">
        <v>204</v>
      </c>
      <c r="F295" s="182">
        <v>44858</v>
      </c>
      <c r="G295" s="186" t="s">
        <v>70</v>
      </c>
      <c r="H295" s="184" t="s">
        <v>71</v>
      </c>
      <c r="T295" s="184" t="s">
        <v>840</v>
      </c>
    </row>
    <row r="296" spans="1:20">
      <c r="A296" s="182">
        <v>44704</v>
      </c>
      <c r="B296" s="183">
        <v>0.58983796296296298</v>
      </c>
      <c r="C296" s="184" t="s">
        <v>67</v>
      </c>
      <c r="D296" s="184" t="s">
        <v>78</v>
      </c>
      <c r="E296" s="184" t="s">
        <v>45</v>
      </c>
      <c r="F296" s="182">
        <v>44715</v>
      </c>
      <c r="G296" s="186" t="s">
        <v>160</v>
      </c>
      <c r="H296" s="184" t="s">
        <v>116</v>
      </c>
    </row>
    <row r="297" spans="1:20">
      <c r="A297" s="182">
        <v>44704</v>
      </c>
      <c r="B297" s="183">
        <v>0.59001157407407401</v>
      </c>
      <c r="C297" s="184" t="s">
        <v>67</v>
      </c>
      <c r="D297" s="184" t="s">
        <v>78</v>
      </c>
      <c r="E297" s="184" t="s">
        <v>45</v>
      </c>
      <c r="F297" s="182">
        <v>44821</v>
      </c>
      <c r="G297" s="186" t="s">
        <v>112</v>
      </c>
      <c r="H297" s="184" t="s">
        <v>265</v>
      </c>
    </row>
    <row r="298" spans="1:20">
      <c r="A298" s="182">
        <v>44705</v>
      </c>
      <c r="B298" s="183">
        <v>0.38343750000000004</v>
      </c>
      <c r="C298" s="184" t="s">
        <v>67</v>
      </c>
      <c r="D298" s="184" t="s">
        <v>68</v>
      </c>
      <c r="E298" s="184" t="s">
        <v>69</v>
      </c>
      <c r="F298" s="182">
        <v>44729</v>
      </c>
      <c r="G298" s="186" t="s">
        <v>94</v>
      </c>
      <c r="H298" s="184" t="s">
        <v>708</v>
      </c>
      <c r="T298" s="184" t="s">
        <v>841</v>
      </c>
    </row>
    <row r="299" spans="1:20">
      <c r="A299" s="182">
        <v>44705</v>
      </c>
      <c r="B299" s="183">
        <v>0.3845601851851852</v>
      </c>
      <c r="C299" s="184" t="s">
        <v>67</v>
      </c>
      <c r="D299" s="184" t="s">
        <v>68</v>
      </c>
      <c r="E299" s="184" t="s">
        <v>69</v>
      </c>
      <c r="F299" s="182">
        <v>44729</v>
      </c>
      <c r="G299" s="186" t="s">
        <v>94</v>
      </c>
      <c r="H299" s="184" t="s">
        <v>179</v>
      </c>
      <c r="T299" s="184" t="s">
        <v>842</v>
      </c>
    </row>
    <row r="300" spans="1:20">
      <c r="A300" s="182">
        <v>44705</v>
      </c>
      <c r="B300" s="183">
        <v>0.62216435185185182</v>
      </c>
      <c r="C300" s="184" t="s">
        <v>67</v>
      </c>
      <c r="D300" s="184" t="s">
        <v>91</v>
      </c>
      <c r="E300" s="184" t="s">
        <v>69</v>
      </c>
      <c r="F300" s="182">
        <v>44729</v>
      </c>
      <c r="G300" s="186" t="s">
        <v>114</v>
      </c>
      <c r="H300" s="184" t="s">
        <v>285</v>
      </c>
    </row>
    <row r="301" spans="1:20">
      <c r="A301" s="182">
        <v>44706</v>
      </c>
      <c r="B301" s="183">
        <v>0.5653125</v>
      </c>
      <c r="C301" s="184" t="s">
        <v>73</v>
      </c>
      <c r="D301" s="184" t="s">
        <v>68</v>
      </c>
      <c r="E301" s="184" t="s">
        <v>96</v>
      </c>
      <c r="F301" s="182">
        <v>44826</v>
      </c>
      <c r="G301" s="186" t="s">
        <v>99</v>
      </c>
      <c r="H301" s="184" t="s">
        <v>222</v>
      </c>
      <c r="T301" s="184" t="s">
        <v>843</v>
      </c>
    </row>
    <row r="302" spans="1:20">
      <c r="A302" s="182">
        <v>44707</v>
      </c>
      <c r="B302" s="183">
        <v>0.38958333333333334</v>
      </c>
      <c r="C302" s="184" t="s">
        <v>67</v>
      </c>
      <c r="D302" s="184" t="s">
        <v>159</v>
      </c>
      <c r="E302" s="184" t="s">
        <v>96</v>
      </c>
      <c r="F302" s="182">
        <v>44754</v>
      </c>
      <c r="G302" s="186" t="s">
        <v>70</v>
      </c>
      <c r="H302" s="184" t="s">
        <v>216</v>
      </c>
    </row>
    <row r="303" spans="1:20">
      <c r="A303" s="182">
        <v>44707</v>
      </c>
      <c r="B303" s="183">
        <v>0.39378472222222222</v>
      </c>
      <c r="C303" s="184" t="s">
        <v>67</v>
      </c>
      <c r="D303" s="184" t="s">
        <v>159</v>
      </c>
      <c r="E303" s="184" t="s">
        <v>96</v>
      </c>
      <c r="F303" s="182">
        <v>44754</v>
      </c>
      <c r="G303" s="186" t="s">
        <v>94</v>
      </c>
      <c r="H303" s="184" t="s">
        <v>215</v>
      </c>
    </row>
    <row r="304" spans="1:20">
      <c r="A304" s="182">
        <v>44707</v>
      </c>
      <c r="B304" s="183">
        <v>0.40290509259259261</v>
      </c>
      <c r="C304" s="184" t="s">
        <v>67</v>
      </c>
      <c r="D304" s="184" t="s">
        <v>91</v>
      </c>
      <c r="E304" s="184" t="s">
        <v>69</v>
      </c>
      <c r="F304" s="182">
        <v>44751</v>
      </c>
      <c r="G304" s="186" t="s">
        <v>105</v>
      </c>
      <c r="H304" s="184" t="s">
        <v>227</v>
      </c>
    </row>
    <row r="305" spans="1:20">
      <c r="A305" s="182">
        <v>44707</v>
      </c>
      <c r="B305" s="183">
        <v>0.6048958333333333</v>
      </c>
      <c r="C305" s="184" t="s">
        <v>67</v>
      </c>
      <c r="D305" s="184" t="s">
        <v>78</v>
      </c>
      <c r="E305" s="184" t="s">
        <v>124</v>
      </c>
      <c r="F305" s="182">
        <v>44764</v>
      </c>
      <c r="G305" s="186" t="s">
        <v>114</v>
      </c>
      <c r="H305" s="184" t="s">
        <v>288</v>
      </c>
    </row>
    <row r="306" spans="1:20">
      <c r="A306" s="182">
        <v>44708</v>
      </c>
      <c r="B306" s="183">
        <v>0.6275115740740741</v>
      </c>
      <c r="C306" s="184" t="s">
        <v>73</v>
      </c>
      <c r="D306" s="184" t="s">
        <v>68</v>
      </c>
      <c r="E306" s="184" t="s">
        <v>69</v>
      </c>
      <c r="F306" s="182">
        <v>44751</v>
      </c>
      <c r="G306" s="186" t="s">
        <v>114</v>
      </c>
      <c r="H306" s="184" t="s">
        <v>103</v>
      </c>
      <c r="T306" s="184" t="s">
        <v>478</v>
      </c>
    </row>
    <row r="307" spans="1:20">
      <c r="A307" s="182">
        <v>44711</v>
      </c>
      <c r="B307" s="183">
        <v>0.39054398148148151</v>
      </c>
      <c r="C307" s="184" t="s">
        <v>73</v>
      </c>
      <c r="D307" s="184" t="s">
        <v>68</v>
      </c>
      <c r="E307" s="184" t="s">
        <v>69</v>
      </c>
      <c r="F307" s="182">
        <v>44751</v>
      </c>
      <c r="G307" s="186" t="s">
        <v>99</v>
      </c>
      <c r="H307" s="184" t="s">
        <v>101</v>
      </c>
      <c r="T307" s="184" t="s">
        <v>478</v>
      </c>
    </row>
    <row r="308" spans="1:20">
      <c r="A308" s="182">
        <v>44711</v>
      </c>
      <c r="B308" s="183">
        <v>0.4535763888888889</v>
      </c>
      <c r="C308" s="184" t="s">
        <v>67</v>
      </c>
      <c r="D308" s="184" t="s">
        <v>68</v>
      </c>
      <c r="E308" s="184" t="s">
        <v>96</v>
      </c>
      <c r="F308" s="182">
        <v>44754</v>
      </c>
      <c r="G308" s="186" t="s">
        <v>94</v>
      </c>
      <c r="H308" s="184" t="s">
        <v>245</v>
      </c>
      <c r="T308" s="184" t="s">
        <v>845</v>
      </c>
    </row>
    <row r="309" spans="1:20">
      <c r="A309" s="182">
        <v>44711</v>
      </c>
      <c r="B309" s="183">
        <v>0.49636574074074075</v>
      </c>
      <c r="C309" s="184" t="s">
        <v>73</v>
      </c>
      <c r="D309" s="184" t="s">
        <v>159</v>
      </c>
      <c r="E309" s="184" t="s">
        <v>96</v>
      </c>
      <c r="F309" s="182">
        <v>44754</v>
      </c>
      <c r="G309" s="186" t="s">
        <v>114</v>
      </c>
      <c r="H309" s="184" t="s">
        <v>248</v>
      </c>
    </row>
    <row r="310" spans="1:20">
      <c r="A310" s="182">
        <v>44711</v>
      </c>
      <c r="B310" s="183">
        <v>0.51118055555555553</v>
      </c>
      <c r="C310" s="184" t="s">
        <v>73</v>
      </c>
      <c r="D310" s="184" t="s">
        <v>78</v>
      </c>
      <c r="E310" s="184" t="s">
        <v>69</v>
      </c>
      <c r="F310" s="182">
        <v>44751</v>
      </c>
      <c r="G310" s="186" t="s">
        <v>75</v>
      </c>
      <c r="H310" s="184" t="s">
        <v>107</v>
      </c>
    </row>
    <row r="311" spans="1:20">
      <c r="A311" s="182">
        <v>44711</v>
      </c>
      <c r="B311" s="183">
        <v>0.51173611111111106</v>
      </c>
      <c r="C311" s="184" t="s">
        <v>73</v>
      </c>
      <c r="D311" s="184" t="s">
        <v>91</v>
      </c>
      <c r="E311" s="184" t="s">
        <v>85</v>
      </c>
      <c r="F311" s="182">
        <v>44761</v>
      </c>
      <c r="G311" s="186" t="s">
        <v>70</v>
      </c>
      <c r="H311" s="184" t="s">
        <v>93</v>
      </c>
    </row>
    <row r="312" spans="1:20">
      <c r="A312" s="182">
        <v>44712</v>
      </c>
      <c r="B312" s="183">
        <v>0.49033564814814817</v>
      </c>
      <c r="C312" s="184" t="s">
        <v>67</v>
      </c>
      <c r="D312" s="184" t="s">
        <v>78</v>
      </c>
      <c r="E312" s="184" t="s">
        <v>45</v>
      </c>
      <c r="F312" s="182">
        <v>44821</v>
      </c>
      <c r="G312" s="186" t="s">
        <v>94</v>
      </c>
      <c r="H312" s="184" t="s">
        <v>288</v>
      </c>
    </row>
    <row r="313" spans="1:20">
      <c r="A313" s="182">
        <v>44712</v>
      </c>
      <c r="B313" s="183">
        <v>0.54666666666666663</v>
      </c>
      <c r="C313" s="184" t="s">
        <v>67</v>
      </c>
      <c r="D313" s="184" t="s">
        <v>68</v>
      </c>
      <c r="E313" s="184" t="s">
        <v>89</v>
      </c>
      <c r="F313" s="182">
        <v>44743</v>
      </c>
      <c r="G313" s="186" t="s">
        <v>94</v>
      </c>
      <c r="H313" s="184" t="s">
        <v>273</v>
      </c>
      <c r="T313" s="184" t="s">
        <v>846</v>
      </c>
    </row>
    <row r="314" spans="1:20">
      <c r="A314" s="182">
        <v>44712</v>
      </c>
      <c r="B314" s="183">
        <v>0.66167824074074078</v>
      </c>
      <c r="C314" s="184" t="s">
        <v>67</v>
      </c>
      <c r="D314" s="184" t="s">
        <v>78</v>
      </c>
      <c r="E314" s="184" t="s">
        <v>45</v>
      </c>
      <c r="F314" s="182">
        <v>44715</v>
      </c>
      <c r="G314" s="186" t="s">
        <v>99</v>
      </c>
      <c r="H314" s="184" t="s">
        <v>98</v>
      </c>
    </row>
    <row r="315" spans="1:20">
      <c r="A315" s="182">
        <v>44713</v>
      </c>
      <c r="B315" s="183">
        <v>0.38871527777777781</v>
      </c>
      <c r="C315" s="184" t="s">
        <v>73</v>
      </c>
      <c r="D315" s="184" t="s">
        <v>68</v>
      </c>
      <c r="E315" s="184" t="s">
        <v>96</v>
      </c>
      <c r="F315" s="182">
        <v>44754</v>
      </c>
      <c r="G315" s="186" t="s">
        <v>94</v>
      </c>
      <c r="H315" s="184" t="s">
        <v>521</v>
      </c>
      <c r="T315" s="184" t="s">
        <v>847</v>
      </c>
    </row>
    <row r="316" spans="1:20">
      <c r="A316" s="182">
        <v>44713</v>
      </c>
      <c r="B316" s="183">
        <v>0.43053240740740745</v>
      </c>
      <c r="C316" s="184" t="s">
        <v>73</v>
      </c>
      <c r="D316" s="184" t="s">
        <v>68</v>
      </c>
      <c r="E316" s="184" t="s">
        <v>89</v>
      </c>
      <c r="F316" s="182">
        <v>44743</v>
      </c>
      <c r="G316" s="186" t="s">
        <v>94</v>
      </c>
      <c r="H316" s="184" t="s">
        <v>261</v>
      </c>
      <c r="T316" s="184" t="s">
        <v>848</v>
      </c>
    </row>
    <row r="317" spans="1:20">
      <c r="A317" s="182">
        <v>44714</v>
      </c>
      <c r="B317" s="183">
        <v>0.67196759259259264</v>
      </c>
      <c r="C317" s="184" t="s">
        <v>67</v>
      </c>
      <c r="D317" s="184" t="s">
        <v>91</v>
      </c>
      <c r="E317" s="184" t="s">
        <v>69</v>
      </c>
      <c r="F317" s="182">
        <v>44751</v>
      </c>
      <c r="G317" s="186" t="s">
        <v>114</v>
      </c>
      <c r="H317" s="184" t="s">
        <v>120</v>
      </c>
    </row>
    <row r="318" spans="1:20">
      <c r="A318" s="182">
        <v>44715</v>
      </c>
      <c r="B318" s="183">
        <v>0.44417824074074069</v>
      </c>
      <c r="C318" s="184" t="s">
        <v>73</v>
      </c>
      <c r="D318" s="184" t="s">
        <v>68</v>
      </c>
      <c r="E318" s="184" t="s">
        <v>124</v>
      </c>
      <c r="F318" s="182">
        <v>44764</v>
      </c>
      <c r="G318" s="186" t="s">
        <v>94</v>
      </c>
      <c r="H318" s="184" t="s">
        <v>261</v>
      </c>
      <c r="T318" s="184" t="s">
        <v>849</v>
      </c>
    </row>
    <row r="319" spans="1:20">
      <c r="A319" s="182">
        <v>44715</v>
      </c>
      <c r="B319" s="183">
        <v>0.47754629629629625</v>
      </c>
      <c r="C319" s="184" t="s">
        <v>73</v>
      </c>
      <c r="D319" s="184" t="s">
        <v>68</v>
      </c>
      <c r="E319" s="184" t="s">
        <v>19</v>
      </c>
      <c r="F319" s="182">
        <v>44742</v>
      </c>
      <c r="G319" s="186" t="s">
        <v>160</v>
      </c>
      <c r="H319" s="184" t="s">
        <v>185</v>
      </c>
      <c r="T319" s="184" t="s">
        <v>567</v>
      </c>
    </row>
    <row r="320" spans="1:20">
      <c r="A320" s="182">
        <v>44715</v>
      </c>
      <c r="B320" s="183">
        <v>0.48064814814814816</v>
      </c>
      <c r="C320" s="184" t="s">
        <v>73</v>
      </c>
      <c r="D320" s="184" t="s">
        <v>68</v>
      </c>
      <c r="E320" s="184" t="s">
        <v>19</v>
      </c>
      <c r="F320" s="182">
        <v>44742</v>
      </c>
      <c r="G320" s="186" t="s">
        <v>94</v>
      </c>
      <c r="H320" s="184" t="s">
        <v>308</v>
      </c>
      <c r="T320" s="184" t="s">
        <v>478</v>
      </c>
    </row>
    <row r="321" spans="1:20">
      <c r="A321" s="182">
        <v>44715</v>
      </c>
      <c r="B321" s="183">
        <v>0.48217592592592595</v>
      </c>
      <c r="C321" s="184" t="s">
        <v>73</v>
      </c>
      <c r="D321" s="184" t="s">
        <v>68</v>
      </c>
      <c r="E321" s="184" t="s">
        <v>19</v>
      </c>
      <c r="F321" s="182">
        <v>44742</v>
      </c>
      <c r="G321" s="186" t="s">
        <v>94</v>
      </c>
      <c r="H321" s="184" t="s">
        <v>190</v>
      </c>
      <c r="T321" s="184" t="s">
        <v>478</v>
      </c>
    </row>
    <row r="322" spans="1:20">
      <c r="A322" s="182">
        <v>44715</v>
      </c>
      <c r="B322" s="183">
        <v>0.50785879629629627</v>
      </c>
      <c r="C322" s="184" t="s">
        <v>73</v>
      </c>
      <c r="D322" s="184" t="s">
        <v>68</v>
      </c>
      <c r="E322" s="184" t="s">
        <v>96</v>
      </c>
      <c r="F322" s="182">
        <v>44754</v>
      </c>
      <c r="G322" s="186" t="s">
        <v>114</v>
      </c>
      <c r="H322" s="184" t="s">
        <v>247</v>
      </c>
      <c r="T322" s="184" t="s">
        <v>234</v>
      </c>
    </row>
    <row r="323" spans="1:20">
      <c r="A323" s="182">
        <v>44715</v>
      </c>
      <c r="B323" s="183">
        <v>0.50905092592592593</v>
      </c>
      <c r="C323" s="184" t="s">
        <v>73</v>
      </c>
      <c r="D323" s="184" t="s">
        <v>68</v>
      </c>
      <c r="E323" s="184" t="s">
        <v>69</v>
      </c>
      <c r="F323" s="182">
        <v>44751</v>
      </c>
      <c r="G323" s="186" t="s">
        <v>94</v>
      </c>
      <c r="H323" s="184" t="s">
        <v>103</v>
      </c>
      <c r="T323" s="184" t="s">
        <v>234</v>
      </c>
    </row>
    <row r="324" spans="1:20">
      <c r="A324" s="182">
        <v>44718</v>
      </c>
      <c r="B324" s="183">
        <v>0.38450231481481478</v>
      </c>
      <c r="C324" s="184" t="s">
        <v>67</v>
      </c>
      <c r="D324" s="184" t="s">
        <v>78</v>
      </c>
      <c r="E324" s="184" t="s">
        <v>89</v>
      </c>
      <c r="F324" s="182">
        <v>44743</v>
      </c>
      <c r="G324" s="186" t="s">
        <v>94</v>
      </c>
      <c r="H324" s="184" t="s">
        <v>113</v>
      </c>
    </row>
    <row r="325" spans="1:20">
      <c r="A325" s="182">
        <v>44718</v>
      </c>
      <c r="B325" s="183">
        <v>0.48365740740740742</v>
      </c>
      <c r="C325" s="184" t="s">
        <v>73</v>
      </c>
      <c r="D325" s="184" t="s">
        <v>68</v>
      </c>
      <c r="E325" s="184" t="s">
        <v>19</v>
      </c>
      <c r="F325" s="182">
        <v>44742</v>
      </c>
      <c r="G325" s="186" t="s">
        <v>94</v>
      </c>
      <c r="H325" s="184" t="s">
        <v>206</v>
      </c>
      <c r="T325" s="184" t="s">
        <v>850</v>
      </c>
    </row>
    <row r="326" spans="1:20">
      <c r="A326" s="182">
        <v>44718</v>
      </c>
      <c r="B326" s="183">
        <v>0.54940972222222217</v>
      </c>
      <c r="C326" s="184" t="s">
        <v>73</v>
      </c>
      <c r="D326" s="184" t="s">
        <v>68</v>
      </c>
      <c r="E326" s="184" t="s">
        <v>69</v>
      </c>
      <c r="F326" s="182">
        <v>44751</v>
      </c>
      <c r="G326" s="186" t="s">
        <v>160</v>
      </c>
      <c r="H326" s="184" t="s">
        <v>76</v>
      </c>
      <c r="T326" s="184" t="s">
        <v>570</v>
      </c>
    </row>
    <row r="327" spans="1:20">
      <c r="A327" s="182">
        <v>44718</v>
      </c>
      <c r="B327" s="183">
        <v>0.55008101851851854</v>
      </c>
      <c r="C327" s="184" t="s">
        <v>73</v>
      </c>
      <c r="D327" s="184" t="s">
        <v>68</v>
      </c>
      <c r="E327" s="184" t="s">
        <v>69</v>
      </c>
      <c r="F327" s="182">
        <v>44845</v>
      </c>
      <c r="G327" s="186" t="s">
        <v>105</v>
      </c>
      <c r="H327" s="184" t="s">
        <v>87</v>
      </c>
      <c r="T327" s="184" t="s">
        <v>570</v>
      </c>
    </row>
    <row r="328" spans="1:20">
      <c r="A328" s="182">
        <v>44718</v>
      </c>
      <c r="B328" s="183">
        <v>0.65043981481481483</v>
      </c>
      <c r="C328" s="184" t="s">
        <v>73</v>
      </c>
      <c r="D328" s="184" t="s">
        <v>68</v>
      </c>
      <c r="E328" s="184" t="s">
        <v>96</v>
      </c>
      <c r="F328" s="182">
        <v>44754</v>
      </c>
      <c r="G328" s="186" t="s">
        <v>94</v>
      </c>
      <c r="H328" s="184" t="s">
        <v>237</v>
      </c>
      <c r="T328" s="184" t="s">
        <v>851</v>
      </c>
    </row>
    <row r="329" spans="1:20">
      <c r="A329" s="182">
        <v>44719</v>
      </c>
      <c r="B329" s="183">
        <v>0.37953703703703701</v>
      </c>
      <c r="C329" s="184" t="s">
        <v>73</v>
      </c>
      <c r="D329" s="184" t="s">
        <v>68</v>
      </c>
      <c r="E329" s="184" t="s">
        <v>96</v>
      </c>
      <c r="F329" s="182">
        <v>44754</v>
      </c>
      <c r="G329" s="186" t="s">
        <v>94</v>
      </c>
      <c r="H329" s="184" t="s">
        <v>243</v>
      </c>
      <c r="T329" s="184" t="s">
        <v>825</v>
      </c>
    </row>
    <row r="330" spans="1:20">
      <c r="A330" s="182">
        <v>44719</v>
      </c>
      <c r="B330" s="183">
        <v>0.38552083333333331</v>
      </c>
      <c r="C330" s="184" t="s">
        <v>73</v>
      </c>
      <c r="D330" s="184" t="s">
        <v>68</v>
      </c>
      <c r="E330" s="184" t="s">
        <v>96</v>
      </c>
      <c r="F330" s="182">
        <v>44826</v>
      </c>
      <c r="G330" s="186" t="s">
        <v>94</v>
      </c>
      <c r="H330" s="184" t="s">
        <v>71</v>
      </c>
      <c r="T330" s="184" t="s">
        <v>627</v>
      </c>
    </row>
    <row r="331" spans="1:20">
      <c r="A331" s="182">
        <v>44719</v>
      </c>
      <c r="B331" s="183">
        <v>0.42398148148148151</v>
      </c>
      <c r="C331" s="184" t="s">
        <v>73</v>
      </c>
      <c r="D331" s="184" t="s">
        <v>68</v>
      </c>
      <c r="E331" s="184" t="s">
        <v>96</v>
      </c>
      <c r="F331" s="182">
        <v>44754</v>
      </c>
      <c r="G331" s="186" t="s">
        <v>99</v>
      </c>
      <c r="H331" s="184" t="s">
        <v>237</v>
      </c>
      <c r="T331" s="184" t="s">
        <v>852</v>
      </c>
    </row>
    <row r="332" spans="1:20">
      <c r="A332" s="182">
        <v>44719</v>
      </c>
      <c r="B332" s="183">
        <v>0.67115740740740737</v>
      </c>
      <c r="C332" s="184" t="s">
        <v>73</v>
      </c>
      <c r="D332" s="184" t="s">
        <v>68</v>
      </c>
      <c r="E332" s="184" t="s">
        <v>96</v>
      </c>
      <c r="F332" s="182">
        <v>44754</v>
      </c>
      <c r="G332" s="186" t="s">
        <v>94</v>
      </c>
      <c r="H332" s="184" t="s">
        <v>243</v>
      </c>
      <c r="T332" s="184" t="s">
        <v>853</v>
      </c>
    </row>
    <row r="333" spans="1:20">
      <c r="A333" s="182">
        <v>44720</v>
      </c>
      <c r="B333" s="183">
        <v>0.41589120370370369</v>
      </c>
      <c r="C333" s="184" t="s">
        <v>67</v>
      </c>
      <c r="D333" s="184" t="s">
        <v>91</v>
      </c>
      <c r="E333" s="184" t="s">
        <v>124</v>
      </c>
      <c r="F333" s="182">
        <v>44764</v>
      </c>
      <c r="G333" s="186" t="s">
        <v>94</v>
      </c>
      <c r="H333" s="184" t="s">
        <v>92</v>
      </c>
    </row>
    <row r="334" spans="1:20">
      <c r="A334" s="182">
        <v>44720</v>
      </c>
      <c r="B334" s="183">
        <v>0.41640046296296296</v>
      </c>
      <c r="C334" s="184" t="s">
        <v>67</v>
      </c>
      <c r="D334" s="184" t="s">
        <v>78</v>
      </c>
      <c r="E334" s="184" t="s">
        <v>96</v>
      </c>
      <c r="F334" s="182">
        <v>44826</v>
      </c>
      <c r="G334" s="186" t="s">
        <v>75</v>
      </c>
      <c r="H334" s="184" t="s">
        <v>107</v>
      </c>
    </row>
    <row r="335" spans="1:20">
      <c r="A335" s="182">
        <v>44721</v>
      </c>
      <c r="B335" s="183">
        <v>0.60881944444444447</v>
      </c>
      <c r="C335" s="184" t="s">
        <v>67</v>
      </c>
      <c r="D335" s="184" t="s">
        <v>68</v>
      </c>
      <c r="E335" s="184" t="s">
        <v>124</v>
      </c>
      <c r="F335" s="182">
        <v>44764</v>
      </c>
      <c r="G335" s="186" t="s">
        <v>94</v>
      </c>
      <c r="H335" s="184" t="s">
        <v>260</v>
      </c>
      <c r="T335" s="184" t="s">
        <v>854</v>
      </c>
    </row>
    <row r="336" spans="1:20">
      <c r="A336" s="182">
        <v>44721</v>
      </c>
      <c r="B336" s="183">
        <v>0.62888888888888894</v>
      </c>
      <c r="C336" s="184" t="s">
        <v>67</v>
      </c>
      <c r="D336" s="184" t="s">
        <v>68</v>
      </c>
      <c r="E336" s="184" t="s">
        <v>45</v>
      </c>
      <c r="F336" s="182">
        <v>44883</v>
      </c>
      <c r="G336" s="186" t="s">
        <v>94</v>
      </c>
      <c r="H336" s="184" t="s">
        <v>71</v>
      </c>
      <c r="T336" s="184" t="s">
        <v>234</v>
      </c>
    </row>
    <row r="337" spans="1:20">
      <c r="A337" s="182">
        <v>44722</v>
      </c>
      <c r="B337" s="183">
        <v>0.65422453703703709</v>
      </c>
      <c r="C337" s="184" t="s">
        <v>67</v>
      </c>
      <c r="D337" s="184" t="s">
        <v>91</v>
      </c>
      <c r="E337" s="184" t="s">
        <v>45</v>
      </c>
      <c r="F337" s="182">
        <v>44821</v>
      </c>
      <c r="G337" s="186" t="s">
        <v>70</v>
      </c>
      <c r="H337" s="184" t="s">
        <v>93</v>
      </c>
    </row>
    <row r="338" spans="1:20">
      <c r="A338" s="182">
        <v>44722</v>
      </c>
      <c r="B338" s="183">
        <v>0.6624768518518519</v>
      </c>
      <c r="C338" s="184" t="s">
        <v>67</v>
      </c>
      <c r="D338" s="184" t="s">
        <v>78</v>
      </c>
      <c r="E338" s="184" t="s">
        <v>45</v>
      </c>
      <c r="F338" s="182">
        <v>44821</v>
      </c>
      <c r="G338" s="186" t="s">
        <v>94</v>
      </c>
      <c r="H338" s="184" t="s">
        <v>267</v>
      </c>
    </row>
    <row r="339" spans="1:20">
      <c r="A339" s="182">
        <v>44725</v>
      </c>
      <c r="B339" s="183">
        <v>0.70293981481481482</v>
      </c>
      <c r="C339" s="184" t="s">
        <v>73</v>
      </c>
      <c r="D339" s="184" t="s">
        <v>78</v>
      </c>
      <c r="E339" s="184" t="s">
        <v>96</v>
      </c>
      <c r="F339" s="182">
        <v>44826</v>
      </c>
      <c r="G339" s="186" t="s">
        <v>94</v>
      </c>
      <c r="H339" s="184" t="s">
        <v>106</v>
      </c>
    </row>
    <row r="340" spans="1:20">
      <c r="A340" s="182">
        <v>44726</v>
      </c>
      <c r="B340" s="183">
        <v>0.41672453703703699</v>
      </c>
      <c r="C340" s="184" t="s">
        <v>67</v>
      </c>
      <c r="D340" s="184" t="s">
        <v>68</v>
      </c>
      <c r="E340" s="184" t="s">
        <v>96</v>
      </c>
      <c r="F340" s="182">
        <v>44754</v>
      </c>
      <c r="G340" s="186" t="s">
        <v>266</v>
      </c>
      <c r="H340" s="184" t="s">
        <v>241</v>
      </c>
      <c r="T340" s="184" t="s">
        <v>147</v>
      </c>
    </row>
    <row r="341" spans="1:20">
      <c r="A341" s="182">
        <v>44726</v>
      </c>
      <c r="B341" s="183">
        <v>0.4828587962962963</v>
      </c>
      <c r="C341" s="184" t="s">
        <v>67</v>
      </c>
      <c r="D341" s="184" t="s">
        <v>68</v>
      </c>
      <c r="E341" s="184" t="s">
        <v>124</v>
      </c>
      <c r="F341" s="182">
        <v>44764</v>
      </c>
      <c r="G341" s="186" t="s">
        <v>94</v>
      </c>
      <c r="H341" s="184" t="s">
        <v>256</v>
      </c>
      <c r="T341" s="184" t="s">
        <v>855</v>
      </c>
    </row>
    <row r="342" spans="1:20">
      <c r="A342" s="182">
        <v>44726</v>
      </c>
      <c r="B342" s="183">
        <v>0.67415509259259254</v>
      </c>
      <c r="C342" s="184" t="s">
        <v>67</v>
      </c>
      <c r="D342" s="184" t="s">
        <v>159</v>
      </c>
      <c r="E342" s="184" t="s">
        <v>19</v>
      </c>
      <c r="F342" s="182">
        <v>44742</v>
      </c>
      <c r="G342" s="186" t="s">
        <v>99</v>
      </c>
      <c r="H342" s="184" t="s">
        <v>740</v>
      </c>
    </row>
    <row r="343" spans="1:20">
      <c r="A343" s="182">
        <v>44727</v>
      </c>
      <c r="B343" s="183">
        <v>0.38048611111111108</v>
      </c>
      <c r="C343" s="184" t="s">
        <v>73</v>
      </c>
      <c r="D343" s="184" t="s">
        <v>68</v>
      </c>
      <c r="E343" s="184" t="s">
        <v>96</v>
      </c>
      <c r="F343" s="182">
        <v>44754</v>
      </c>
      <c r="G343" s="186" t="s">
        <v>99</v>
      </c>
      <c r="H343" s="184" t="s">
        <v>239</v>
      </c>
      <c r="T343" s="184" t="s">
        <v>856</v>
      </c>
    </row>
    <row r="344" spans="1:20">
      <c r="A344" s="182">
        <v>44727</v>
      </c>
      <c r="B344" s="183">
        <v>0.38128472222222221</v>
      </c>
      <c r="C344" s="184" t="s">
        <v>73</v>
      </c>
      <c r="D344" s="184" t="s">
        <v>68</v>
      </c>
      <c r="E344" s="184" t="s">
        <v>96</v>
      </c>
      <c r="F344" s="182">
        <v>44886</v>
      </c>
      <c r="G344" s="186" t="s">
        <v>70</v>
      </c>
      <c r="H344" s="184" t="s">
        <v>71</v>
      </c>
      <c r="T344" s="184" t="s">
        <v>424</v>
      </c>
    </row>
    <row r="345" spans="1:20">
      <c r="A345" s="182">
        <v>44727</v>
      </c>
      <c r="B345" s="183">
        <v>0.38656249999999998</v>
      </c>
      <c r="C345" s="184" t="s">
        <v>73</v>
      </c>
      <c r="D345" s="184" t="s">
        <v>78</v>
      </c>
      <c r="E345" s="184" t="s">
        <v>19</v>
      </c>
      <c r="F345" s="182">
        <v>44742</v>
      </c>
      <c r="G345" s="186" t="s">
        <v>94</v>
      </c>
      <c r="H345" s="184" t="s">
        <v>268</v>
      </c>
    </row>
    <row r="346" spans="1:20">
      <c r="A346" s="182">
        <v>44727</v>
      </c>
      <c r="B346" s="183">
        <v>0.46252314814814816</v>
      </c>
      <c r="C346" s="184" t="s">
        <v>73</v>
      </c>
      <c r="D346" s="184" t="s">
        <v>68</v>
      </c>
      <c r="E346" s="184" t="s">
        <v>96</v>
      </c>
      <c r="F346" s="182">
        <v>44754</v>
      </c>
      <c r="G346" s="186" t="s">
        <v>94</v>
      </c>
      <c r="H346" s="184" t="s">
        <v>241</v>
      </c>
      <c r="T346" s="184" t="s">
        <v>857</v>
      </c>
    </row>
    <row r="347" spans="1:20">
      <c r="A347" s="182">
        <v>44727</v>
      </c>
      <c r="B347" s="183">
        <v>0.48396990740740736</v>
      </c>
      <c r="C347" s="184" t="s">
        <v>73</v>
      </c>
      <c r="D347" s="184" t="s">
        <v>78</v>
      </c>
      <c r="E347" s="184" t="s">
        <v>89</v>
      </c>
      <c r="F347" s="182">
        <v>44743</v>
      </c>
      <c r="G347" s="186" t="s">
        <v>94</v>
      </c>
      <c r="H347" s="184" t="s">
        <v>265</v>
      </c>
    </row>
    <row r="348" spans="1:20">
      <c r="A348" s="182">
        <v>44727</v>
      </c>
      <c r="B348" s="183">
        <v>0.5411921296296297</v>
      </c>
      <c r="C348" s="184" t="s">
        <v>73</v>
      </c>
      <c r="D348" s="184" t="s">
        <v>68</v>
      </c>
      <c r="E348" s="184" t="s">
        <v>859</v>
      </c>
      <c r="F348" s="182">
        <v>44792</v>
      </c>
      <c r="G348" s="186" t="s">
        <v>70</v>
      </c>
      <c r="H348" s="184" t="s">
        <v>71</v>
      </c>
      <c r="T348" s="184" t="s">
        <v>858</v>
      </c>
    </row>
    <row r="349" spans="1:20">
      <c r="A349" s="182">
        <v>44727</v>
      </c>
      <c r="B349" s="183">
        <v>0.63542824074074067</v>
      </c>
      <c r="C349" s="184" t="s">
        <v>73</v>
      </c>
      <c r="D349" s="184" t="s">
        <v>68</v>
      </c>
      <c r="E349" s="184" t="s">
        <v>85</v>
      </c>
      <c r="F349" s="182">
        <v>44761</v>
      </c>
      <c r="G349" s="186" t="s">
        <v>94</v>
      </c>
      <c r="H349" s="184" t="s">
        <v>87</v>
      </c>
      <c r="T349" s="184" t="s">
        <v>860</v>
      </c>
    </row>
    <row r="350" spans="1:20">
      <c r="A350" s="182">
        <v>44727</v>
      </c>
      <c r="B350" s="183">
        <v>0.65075231481481477</v>
      </c>
      <c r="C350" s="184" t="s">
        <v>73</v>
      </c>
      <c r="D350" s="184" t="s">
        <v>91</v>
      </c>
      <c r="E350" s="184" t="s">
        <v>96</v>
      </c>
      <c r="F350" s="182">
        <v>44754</v>
      </c>
      <c r="G350" s="186" t="s">
        <v>99</v>
      </c>
      <c r="H350" s="184" t="s">
        <v>278</v>
      </c>
    </row>
    <row r="351" spans="1:20">
      <c r="A351" s="182">
        <v>44727</v>
      </c>
      <c r="B351" s="183">
        <v>0.65085648148148145</v>
      </c>
      <c r="C351" s="184" t="s">
        <v>73</v>
      </c>
      <c r="D351" s="184" t="s">
        <v>91</v>
      </c>
      <c r="E351" s="184" t="s">
        <v>96</v>
      </c>
      <c r="F351" s="182">
        <v>44886</v>
      </c>
      <c r="G351" s="186" t="s">
        <v>70</v>
      </c>
      <c r="H351" s="184" t="s">
        <v>93</v>
      </c>
    </row>
    <row r="352" spans="1:20">
      <c r="A352" s="182">
        <v>44727</v>
      </c>
      <c r="B352" s="183">
        <v>0.6871990740740741</v>
      </c>
      <c r="C352" s="184" t="s">
        <v>73</v>
      </c>
      <c r="D352" s="184" t="s">
        <v>78</v>
      </c>
      <c r="E352" s="184" t="s">
        <v>19</v>
      </c>
      <c r="F352" s="182">
        <v>44742</v>
      </c>
      <c r="G352" s="186" t="s">
        <v>99</v>
      </c>
      <c r="H352" s="184" t="s">
        <v>208</v>
      </c>
    </row>
    <row r="353" spans="1:20">
      <c r="A353" s="182">
        <v>44728</v>
      </c>
      <c r="B353" s="183">
        <v>0.37980324074074073</v>
      </c>
      <c r="C353" s="184" t="s">
        <v>67</v>
      </c>
      <c r="D353" s="184" t="s">
        <v>91</v>
      </c>
      <c r="E353" s="184" t="s">
        <v>19</v>
      </c>
      <c r="F353" s="182">
        <v>44742</v>
      </c>
      <c r="G353" s="186" t="s">
        <v>94</v>
      </c>
      <c r="H353" s="184" t="s">
        <v>120</v>
      </c>
    </row>
    <row r="354" spans="1:20">
      <c r="A354" s="182">
        <v>44728</v>
      </c>
      <c r="B354" s="183">
        <v>0.3805439814814815</v>
      </c>
      <c r="C354" s="184" t="s">
        <v>67</v>
      </c>
      <c r="D354" s="184" t="s">
        <v>68</v>
      </c>
      <c r="E354" s="184" t="s">
        <v>96</v>
      </c>
      <c r="F354" s="182">
        <v>44754</v>
      </c>
      <c r="G354" s="186" t="s">
        <v>94</v>
      </c>
      <c r="H354" s="184" t="s">
        <v>245</v>
      </c>
      <c r="T354" s="184" t="s">
        <v>147</v>
      </c>
    </row>
    <row r="355" spans="1:20">
      <c r="A355" s="182">
        <v>44728</v>
      </c>
      <c r="B355" s="183">
        <v>0.38543981481481482</v>
      </c>
      <c r="C355" s="184" t="s">
        <v>67</v>
      </c>
      <c r="D355" s="184" t="s">
        <v>68</v>
      </c>
      <c r="E355" s="184" t="s">
        <v>96</v>
      </c>
      <c r="F355" s="182">
        <v>44754</v>
      </c>
      <c r="G355" s="186" t="s">
        <v>115</v>
      </c>
      <c r="H355" s="184" t="s">
        <v>239</v>
      </c>
      <c r="T355" s="184" t="s">
        <v>234</v>
      </c>
    </row>
    <row r="356" spans="1:20">
      <c r="A356" s="182">
        <v>44728</v>
      </c>
      <c r="B356" s="183">
        <v>0.38572916666666668</v>
      </c>
      <c r="C356" s="184" t="s">
        <v>67</v>
      </c>
      <c r="D356" s="184" t="s">
        <v>68</v>
      </c>
      <c r="E356" s="184" t="s">
        <v>96</v>
      </c>
      <c r="F356" s="182">
        <v>44754</v>
      </c>
      <c r="G356" s="186" t="s">
        <v>94</v>
      </c>
      <c r="H356" s="184" t="s">
        <v>241</v>
      </c>
      <c r="T356" s="184" t="s">
        <v>861</v>
      </c>
    </row>
    <row r="357" spans="1:20">
      <c r="A357" s="182">
        <v>44728</v>
      </c>
      <c r="B357" s="183">
        <v>0.45037037037037037</v>
      </c>
      <c r="C357" s="184" t="s">
        <v>67</v>
      </c>
      <c r="D357" s="184" t="s">
        <v>68</v>
      </c>
      <c r="E357" s="184" t="s">
        <v>89</v>
      </c>
      <c r="F357" s="182">
        <v>44743</v>
      </c>
      <c r="G357" s="186" t="s">
        <v>94</v>
      </c>
      <c r="H357" s="184" t="s">
        <v>260</v>
      </c>
      <c r="T357" s="184" t="s">
        <v>862</v>
      </c>
    </row>
    <row r="358" spans="1:20">
      <c r="A358" s="182">
        <v>44728</v>
      </c>
      <c r="B358" s="183">
        <v>0.62318287037037035</v>
      </c>
      <c r="C358" s="184" t="s">
        <v>67</v>
      </c>
      <c r="D358" s="184" t="s">
        <v>78</v>
      </c>
      <c r="E358" s="184" t="s">
        <v>69</v>
      </c>
      <c r="F358" s="182">
        <v>44751</v>
      </c>
      <c r="G358" s="186" t="s">
        <v>114</v>
      </c>
      <c r="H358" s="184" t="s">
        <v>113</v>
      </c>
    </row>
    <row r="359" spans="1:20">
      <c r="A359" s="182">
        <v>44729</v>
      </c>
      <c r="B359" s="183">
        <v>0.4120138888888889</v>
      </c>
      <c r="C359" s="184" t="s">
        <v>67</v>
      </c>
      <c r="D359" s="184" t="s">
        <v>68</v>
      </c>
      <c r="E359" s="184" t="s">
        <v>69</v>
      </c>
      <c r="F359" s="182">
        <v>44751</v>
      </c>
      <c r="G359" s="186" t="s">
        <v>94</v>
      </c>
      <c r="H359" s="184" t="s">
        <v>87</v>
      </c>
      <c r="T359" s="184" t="s">
        <v>863</v>
      </c>
    </row>
    <row r="360" spans="1:20">
      <c r="A360" s="182">
        <v>44729</v>
      </c>
      <c r="B360" s="183">
        <v>0.41278935185185189</v>
      </c>
      <c r="C360" s="184" t="s">
        <v>67</v>
      </c>
      <c r="D360" s="184" t="s">
        <v>68</v>
      </c>
      <c r="E360" s="184" t="s">
        <v>69</v>
      </c>
      <c r="F360" s="182">
        <v>44729</v>
      </c>
      <c r="G360" s="186" t="s">
        <v>160</v>
      </c>
      <c r="H360" s="184" t="s">
        <v>706</v>
      </c>
      <c r="T360" s="184" t="s">
        <v>864</v>
      </c>
    </row>
    <row r="361" spans="1:20">
      <c r="A361" s="182">
        <v>44729</v>
      </c>
      <c r="B361" s="183">
        <v>0.60458333333333336</v>
      </c>
      <c r="C361" s="184" t="s">
        <v>73</v>
      </c>
      <c r="D361" s="184" t="s">
        <v>91</v>
      </c>
      <c r="E361" s="184" t="s">
        <v>204</v>
      </c>
      <c r="F361" s="182">
        <v>44858</v>
      </c>
      <c r="G361" s="186" t="s">
        <v>70</v>
      </c>
      <c r="H361" s="184" t="s">
        <v>93</v>
      </c>
    </row>
    <row r="362" spans="1:20">
      <c r="A362" s="182">
        <v>44729</v>
      </c>
      <c r="B362" s="183">
        <v>0.60493055555555553</v>
      </c>
      <c r="C362" s="184" t="s">
        <v>73</v>
      </c>
      <c r="D362" s="184" t="s">
        <v>78</v>
      </c>
      <c r="E362" s="184" t="s">
        <v>19</v>
      </c>
      <c r="F362" s="182">
        <v>44847</v>
      </c>
      <c r="G362" s="186" t="s">
        <v>94</v>
      </c>
      <c r="H362" s="184" t="s">
        <v>265</v>
      </c>
    </row>
    <row r="363" spans="1:20">
      <c r="A363" s="182">
        <v>44729</v>
      </c>
      <c r="B363" s="183">
        <v>0.60504629629629625</v>
      </c>
      <c r="C363" s="184" t="s">
        <v>73</v>
      </c>
      <c r="D363" s="184" t="s">
        <v>78</v>
      </c>
      <c r="E363" s="184" t="s">
        <v>19</v>
      </c>
      <c r="F363" s="182">
        <v>44910</v>
      </c>
      <c r="G363" s="186" t="s">
        <v>70</v>
      </c>
      <c r="H363" s="184" t="s">
        <v>86</v>
      </c>
    </row>
    <row r="364" spans="1:20">
      <c r="A364" s="182">
        <v>44729</v>
      </c>
      <c r="B364" s="183">
        <v>0.60567129629629635</v>
      </c>
      <c r="C364" s="184" t="s">
        <v>73</v>
      </c>
      <c r="D364" s="184" t="s">
        <v>78</v>
      </c>
      <c r="E364" s="184" t="s">
        <v>96</v>
      </c>
      <c r="F364" s="182">
        <v>44999</v>
      </c>
      <c r="G364" s="186" t="s">
        <v>70</v>
      </c>
      <c r="H364" s="184" t="s">
        <v>86</v>
      </c>
    </row>
    <row r="365" spans="1:20">
      <c r="A365" s="182">
        <v>44729</v>
      </c>
      <c r="B365" s="183">
        <v>0.68704861111111104</v>
      </c>
      <c r="C365" s="184" t="s">
        <v>73</v>
      </c>
      <c r="D365" s="184" t="s">
        <v>68</v>
      </c>
      <c r="E365" s="184" t="s">
        <v>124</v>
      </c>
      <c r="F365" s="182">
        <v>44764</v>
      </c>
      <c r="G365" s="186" t="s">
        <v>94</v>
      </c>
      <c r="H365" s="184" t="s">
        <v>305</v>
      </c>
      <c r="T365" s="184" t="s">
        <v>865</v>
      </c>
    </row>
    <row r="366" spans="1:20">
      <c r="A366" s="182">
        <v>44732</v>
      </c>
      <c r="B366" s="183">
        <v>0.37822916666666667</v>
      </c>
      <c r="C366" s="184" t="s">
        <v>67</v>
      </c>
      <c r="D366" s="184" t="s">
        <v>68</v>
      </c>
      <c r="E366" s="184" t="s">
        <v>96</v>
      </c>
      <c r="F366" s="182">
        <v>44754</v>
      </c>
      <c r="G366" s="186" t="s">
        <v>94</v>
      </c>
      <c r="H366" s="184" t="s">
        <v>245</v>
      </c>
      <c r="T366" s="184" t="s">
        <v>866</v>
      </c>
    </row>
    <row r="367" spans="1:20">
      <c r="A367" s="182">
        <v>44732</v>
      </c>
      <c r="B367" s="183">
        <v>0.44836805555555559</v>
      </c>
      <c r="C367" s="184" t="s">
        <v>67</v>
      </c>
      <c r="D367" s="184" t="s">
        <v>68</v>
      </c>
      <c r="E367" s="184" t="s">
        <v>69</v>
      </c>
      <c r="F367" s="182">
        <v>44751</v>
      </c>
      <c r="G367" s="186" t="s">
        <v>114</v>
      </c>
      <c r="H367" s="184" t="s">
        <v>103</v>
      </c>
      <c r="T367" s="184" t="s">
        <v>867</v>
      </c>
    </row>
    <row r="368" spans="1:20">
      <c r="A368" s="182">
        <v>44732</v>
      </c>
      <c r="B368" s="183">
        <v>0.46038194444444441</v>
      </c>
      <c r="C368" s="184" t="s">
        <v>67</v>
      </c>
      <c r="D368" s="184" t="s">
        <v>78</v>
      </c>
      <c r="E368" s="184" t="s">
        <v>96</v>
      </c>
      <c r="F368" s="182">
        <v>44826</v>
      </c>
      <c r="G368" s="186" t="s">
        <v>94</v>
      </c>
      <c r="H368" s="184" t="s">
        <v>113</v>
      </c>
    </row>
    <row r="369" spans="1:20">
      <c r="A369" s="182">
        <v>44732</v>
      </c>
      <c r="B369" s="183">
        <v>0.62152777777777779</v>
      </c>
      <c r="C369" s="184" t="s">
        <v>67</v>
      </c>
      <c r="D369" s="184" t="s">
        <v>159</v>
      </c>
      <c r="E369" s="184" t="s">
        <v>96</v>
      </c>
      <c r="F369" s="182">
        <v>44754</v>
      </c>
      <c r="G369" s="186" t="s">
        <v>115</v>
      </c>
      <c r="H369" s="184" t="s">
        <v>215</v>
      </c>
    </row>
    <row r="370" spans="1:20">
      <c r="A370" s="182">
        <v>44732</v>
      </c>
      <c r="B370" s="183">
        <v>0.66067129629629628</v>
      </c>
      <c r="C370" s="184" t="s">
        <v>67</v>
      </c>
      <c r="D370" s="184" t="s">
        <v>78</v>
      </c>
      <c r="E370" s="184" t="s">
        <v>19</v>
      </c>
      <c r="F370" s="182">
        <v>44847</v>
      </c>
      <c r="G370" s="186" t="s">
        <v>94</v>
      </c>
      <c r="H370" s="184" t="s">
        <v>288</v>
      </c>
    </row>
    <row r="371" spans="1:20">
      <c r="A371" s="182">
        <v>44733</v>
      </c>
      <c r="B371" s="183">
        <v>0.44802083333333331</v>
      </c>
      <c r="C371" s="184" t="s">
        <v>67</v>
      </c>
      <c r="D371" s="184" t="s">
        <v>68</v>
      </c>
      <c r="E371" s="184" t="s">
        <v>69</v>
      </c>
      <c r="F371" s="182">
        <v>44751</v>
      </c>
      <c r="G371" s="186" t="s">
        <v>94</v>
      </c>
      <c r="H371" s="184" t="s">
        <v>182</v>
      </c>
      <c r="T371" s="184" t="s">
        <v>868</v>
      </c>
    </row>
    <row r="372" spans="1:20">
      <c r="A372" s="182">
        <v>44733</v>
      </c>
      <c r="B372" s="183">
        <v>0.49784722222222227</v>
      </c>
      <c r="C372" s="184" t="s">
        <v>67</v>
      </c>
      <c r="D372" s="184" t="s">
        <v>91</v>
      </c>
      <c r="E372" s="184" t="s">
        <v>85</v>
      </c>
      <c r="F372" s="182">
        <v>44761</v>
      </c>
      <c r="G372" s="186" t="s">
        <v>114</v>
      </c>
      <c r="H372" s="184" t="s">
        <v>227</v>
      </c>
    </row>
    <row r="373" spans="1:20">
      <c r="A373" s="182">
        <v>44733</v>
      </c>
      <c r="B373" s="183">
        <v>0.49818287037037035</v>
      </c>
      <c r="C373" s="184" t="s">
        <v>67</v>
      </c>
      <c r="D373" s="184" t="s">
        <v>91</v>
      </c>
      <c r="E373" s="184" t="s">
        <v>96</v>
      </c>
      <c r="F373" s="182">
        <v>44754</v>
      </c>
      <c r="G373" s="186" t="s">
        <v>94</v>
      </c>
      <c r="H373" s="184" t="s">
        <v>93</v>
      </c>
    </row>
    <row r="374" spans="1:20">
      <c r="A374" s="182">
        <v>44733</v>
      </c>
      <c r="B374" s="183">
        <v>0.57865740740740745</v>
      </c>
      <c r="C374" s="184" t="s">
        <v>67</v>
      </c>
      <c r="D374" s="184" t="s">
        <v>78</v>
      </c>
      <c r="E374" s="184" t="s">
        <v>124</v>
      </c>
      <c r="F374" s="182">
        <v>44764</v>
      </c>
      <c r="G374" s="186" t="s">
        <v>94</v>
      </c>
      <c r="H374" s="184" t="s">
        <v>267</v>
      </c>
    </row>
    <row r="375" spans="1:20">
      <c r="A375" s="182">
        <v>44733</v>
      </c>
      <c r="B375" s="183">
        <v>0.58711805555555563</v>
      </c>
      <c r="C375" s="184" t="s">
        <v>67</v>
      </c>
      <c r="D375" s="184" t="s">
        <v>78</v>
      </c>
      <c r="E375" s="184" t="s">
        <v>19</v>
      </c>
      <c r="F375" s="182">
        <v>44742</v>
      </c>
      <c r="G375" s="186" t="s">
        <v>115</v>
      </c>
      <c r="H375" s="184" t="s">
        <v>280</v>
      </c>
    </row>
    <row r="376" spans="1:20">
      <c r="A376" s="182">
        <v>44733</v>
      </c>
      <c r="B376" s="183">
        <v>0.5873032407407407</v>
      </c>
      <c r="C376" s="184" t="s">
        <v>67</v>
      </c>
      <c r="D376" s="184" t="s">
        <v>78</v>
      </c>
      <c r="E376" s="184" t="s">
        <v>19</v>
      </c>
      <c r="F376" s="182">
        <v>44847</v>
      </c>
      <c r="G376" s="186" t="s">
        <v>114</v>
      </c>
      <c r="H376" s="184" t="s">
        <v>327</v>
      </c>
    </row>
    <row r="377" spans="1:20">
      <c r="A377" s="182">
        <v>44733</v>
      </c>
      <c r="B377" s="183">
        <v>0.58763888888888893</v>
      </c>
      <c r="C377" s="184" t="s">
        <v>67</v>
      </c>
      <c r="D377" s="184" t="s">
        <v>78</v>
      </c>
      <c r="E377" s="184" t="s">
        <v>89</v>
      </c>
      <c r="F377" s="182">
        <v>44743</v>
      </c>
      <c r="G377" s="186" t="s">
        <v>94</v>
      </c>
      <c r="H377" s="184" t="s">
        <v>288</v>
      </c>
    </row>
    <row r="378" spans="1:20">
      <c r="A378" s="182">
        <v>44733</v>
      </c>
      <c r="B378" s="183">
        <v>0.64255787037037038</v>
      </c>
      <c r="C378" s="184" t="s">
        <v>67</v>
      </c>
      <c r="D378" s="184" t="s">
        <v>78</v>
      </c>
      <c r="E378" s="184" t="s">
        <v>95</v>
      </c>
      <c r="F378" s="182">
        <v>44866</v>
      </c>
      <c r="G378" s="186" t="s">
        <v>869</v>
      </c>
      <c r="H378" s="184" t="s">
        <v>107</v>
      </c>
    </row>
    <row r="379" spans="1:20">
      <c r="A379" s="182">
        <v>44733</v>
      </c>
      <c r="B379" s="183">
        <v>0.64265046296296291</v>
      </c>
      <c r="C379" s="184" t="s">
        <v>67</v>
      </c>
      <c r="D379" s="184" t="s">
        <v>78</v>
      </c>
      <c r="E379" s="184" t="s">
        <v>95</v>
      </c>
      <c r="F379" s="182">
        <v>44866</v>
      </c>
      <c r="G379" s="186" t="s">
        <v>115</v>
      </c>
      <c r="H379" s="184" t="s">
        <v>233</v>
      </c>
    </row>
    <row r="380" spans="1:20">
      <c r="A380" s="182">
        <v>44733</v>
      </c>
      <c r="B380" s="183">
        <v>0.72030092592592598</v>
      </c>
      <c r="C380" s="184" t="s">
        <v>67</v>
      </c>
      <c r="D380" s="184" t="s">
        <v>91</v>
      </c>
      <c r="E380" s="184" t="s">
        <v>85</v>
      </c>
      <c r="F380" s="182">
        <v>44761</v>
      </c>
      <c r="G380" s="186" t="s">
        <v>94</v>
      </c>
      <c r="H380" s="184" t="s">
        <v>285</v>
      </c>
    </row>
    <row r="381" spans="1:20">
      <c r="A381" s="182">
        <v>44734</v>
      </c>
      <c r="B381" s="183">
        <v>0.43326388888888889</v>
      </c>
      <c r="C381" s="184" t="s">
        <v>73</v>
      </c>
      <c r="D381" s="184" t="s">
        <v>91</v>
      </c>
      <c r="E381" s="184" t="s">
        <v>19</v>
      </c>
      <c r="F381" s="182">
        <v>44742</v>
      </c>
      <c r="G381" s="186" t="s">
        <v>94</v>
      </c>
      <c r="H381" s="184" t="s">
        <v>229</v>
      </c>
    </row>
    <row r="382" spans="1:20">
      <c r="A382" s="182">
        <v>44734</v>
      </c>
      <c r="B382" s="183">
        <v>0.71037037037037043</v>
      </c>
      <c r="C382" s="184" t="s">
        <v>67</v>
      </c>
      <c r="D382" s="184" t="s">
        <v>68</v>
      </c>
      <c r="E382" s="184" t="s">
        <v>124</v>
      </c>
      <c r="F382" s="182">
        <v>44887</v>
      </c>
      <c r="G382" s="186" t="s">
        <v>94</v>
      </c>
      <c r="H382" s="184" t="s">
        <v>273</v>
      </c>
      <c r="T382" s="275" t="s">
        <v>456</v>
      </c>
    </row>
    <row r="383" spans="1:20">
      <c r="A383" s="182">
        <v>44734</v>
      </c>
      <c r="B383" s="183">
        <v>0.71188657407407396</v>
      </c>
      <c r="C383" s="184" t="s">
        <v>67</v>
      </c>
      <c r="D383" s="184" t="s">
        <v>68</v>
      </c>
      <c r="E383" s="184" t="s">
        <v>19</v>
      </c>
      <c r="F383" s="182">
        <v>44978</v>
      </c>
      <c r="G383" s="186" t="s">
        <v>70</v>
      </c>
      <c r="H383" s="184" t="s">
        <v>71</v>
      </c>
      <c r="T383" s="184" t="s">
        <v>456</v>
      </c>
    </row>
    <row r="384" spans="1:20">
      <c r="A384" s="182">
        <v>44735</v>
      </c>
      <c r="B384" s="183">
        <v>0.41996527777777781</v>
      </c>
      <c r="C384" s="184" t="s">
        <v>67</v>
      </c>
      <c r="D384" s="184" t="s">
        <v>68</v>
      </c>
      <c r="E384" s="184" t="s">
        <v>96</v>
      </c>
      <c r="F384" s="182">
        <v>44754</v>
      </c>
      <c r="G384" s="186" t="s">
        <v>94</v>
      </c>
      <c r="H384" s="184" t="s">
        <v>521</v>
      </c>
      <c r="T384" s="184" t="s">
        <v>870</v>
      </c>
    </row>
    <row r="385" spans="1:20">
      <c r="A385" s="182">
        <v>44735</v>
      </c>
      <c r="B385" s="183">
        <v>0.46510416666666665</v>
      </c>
      <c r="C385" s="184" t="s">
        <v>67</v>
      </c>
      <c r="D385" s="184" t="s">
        <v>68</v>
      </c>
      <c r="E385" s="184" t="s">
        <v>19</v>
      </c>
      <c r="F385" s="182">
        <v>44910</v>
      </c>
      <c r="G385" s="186" t="s">
        <v>105</v>
      </c>
      <c r="H385" s="184" t="s">
        <v>87</v>
      </c>
      <c r="T385" s="184" t="s">
        <v>343</v>
      </c>
    </row>
    <row r="386" spans="1:20">
      <c r="A386" s="182">
        <v>44735</v>
      </c>
      <c r="B386" s="183">
        <v>0.46614583333333331</v>
      </c>
      <c r="C386" s="184" t="s">
        <v>67</v>
      </c>
      <c r="D386" s="184" t="s">
        <v>68</v>
      </c>
      <c r="E386" s="184" t="s">
        <v>45</v>
      </c>
      <c r="F386" s="182">
        <v>44883</v>
      </c>
      <c r="G386" s="186" t="s">
        <v>112</v>
      </c>
      <c r="H386" s="184" t="s">
        <v>101</v>
      </c>
      <c r="T386" s="184" t="s">
        <v>343</v>
      </c>
    </row>
    <row r="387" spans="1:20">
      <c r="A387" s="182">
        <v>44735</v>
      </c>
      <c r="B387" s="183">
        <v>0.53505787037037034</v>
      </c>
      <c r="C387" s="184" t="s">
        <v>67</v>
      </c>
      <c r="D387" s="184" t="s">
        <v>68</v>
      </c>
      <c r="E387" s="184" t="s">
        <v>96</v>
      </c>
      <c r="F387" s="182">
        <v>44754</v>
      </c>
      <c r="G387" s="186" t="s">
        <v>94</v>
      </c>
      <c r="H387" s="184" t="s">
        <v>392</v>
      </c>
      <c r="T387" s="184" t="s">
        <v>871</v>
      </c>
    </row>
    <row r="388" spans="1:20">
      <c r="A388" s="182">
        <v>44735</v>
      </c>
      <c r="B388" s="183">
        <v>0.57310185185185192</v>
      </c>
      <c r="C388" s="184" t="s">
        <v>67</v>
      </c>
      <c r="D388" s="184" t="s">
        <v>68</v>
      </c>
      <c r="E388" s="184" t="s">
        <v>89</v>
      </c>
      <c r="F388" s="182">
        <v>44743</v>
      </c>
      <c r="G388" s="186" t="s">
        <v>94</v>
      </c>
      <c r="H388" s="184" t="s">
        <v>256</v>
      </c>
      <c r="T388" s="184" t="s">
        <v>872</v>
      </c>
    </row>
    <row r="389" spans="1:20">
      <c r="A389" s="182">
        <v>44735</v>
      </c>
      <c r="B389" s="183">
        <v>0.60123842592592591</v>
      </c>
      <c r="C389" s="184" t="s">
        <v>67</v>
      </c>
      <c r="D389" s="184" t="s">
        <v>91</v>
      </c>
      <c r="E389" s="184" t="s">
        <v>19</v>
      </c>
      <c r="F389" s="182">
        <v>44742</v>
      </c>
      <c r="G389" s="186" t="s">
        <v>94</v>
      </c>
      <c r="H389" s="184" t="s">
        <v>189</v>
      </c>
    </row>
    <row r="390" spans="1:20">
      <c r="A390" s="182">
        <v>44735</v>
      </c>
      <c r="B390" s="183">
        <v>0.61947916666666669</v>
      </c>
      <c r="C390" s="184" t="s">
        <v>67</v>
      </c>
      <c r="D390" s="184" t="s">
        <v>91</v>
      </c>
      <c r="E390" s="184" t="s">
        <v>124</v>
      </c>
      <c r="F390" s="182">
        <v>44764</v>
      </c>
      <c r="G390" s="186" t="s">
        <v>94</v>
      </c>
      <c r="H390" s="184" t="s">
        <v>227</v>
      </c>
    </row>
    <row r="391" spans="1:20">
      <c r="A391" s="182">
        <v>44735</v>
      </c>
      <c r="B391" s="183">
        <v>0.61971064814814814</v>
      </c>
      <c r="C391" s="184" t="s">
        <v>67</v>
      </c>
      <c r="D391" s="184" t="s">
        <v>91</v>
      </c>
      <c r="E391" s="184" t="s">
        <v>69</v>
      </c>
      <c r="F391" s="182">
        <v>44751</v>
      </c>
      <c r="G391" s="186" t="s">
        <v>83</v>
      </c>
      <c r="H391" s="184" t="s">
        <v>193</v>
      </c>
    </row>
    <row r="392" spans="1:20">
      <c r="A392" s="182">
        <v>44735</v>
      </c>
      <c r="B392" s="183">
        <v>0.64513888888888882</v>
      </c>
      <c r="C392" s="184" t="s">
        <v>67</v>
      </c>
      <c r="D392" s="184" t="s">
        <v>68</v>
      </c>
      <c r="E392" s="184" t="s">
        <v>96</v>
      </c>
      <c r="F392" s="182">
        <v>44754</v>
      </c>
      <c r="G392" s="186" t="s">
        <v>99</v>
      </c>
      <c r="H392" s="184" t="s">
        <v>521</v>
      </c>
      <c r="T392" s="184" t="s">
        <v>874</v>
      </c>
    </row>
    <row r="393" spans="1:20">
      <c r="A393" s="182">
        <v>44735</v>
      </c>
      <c r="B393" s="183">
        <v>0.64839120370370373</v>
      </c>
      <c r="C393" s="184" t="s">
        <v>67</v>
      </c>
      <c r="D393" s="184" t="s">
        <v>91</v>
      </c>
      <c r="E393" s="184" t="s">
        <v>96</v>
      </c>
      <c r="F393" s="182">
        <v>44754</v>
      </c>
      <c r="G393" s="186" t="s">
        <v>94</v>
      </c>
      <c r="H393" s="184" t="s">
        <v>92</v>
      </c>
    </row>
    <row r="394" spans="1:20">
      <c r="A394" s="182">
        <v>44736</v>
      </c>
      <c r="B394" s="183">
        <v>0.4528240740740741</v>
      </c>
      <c r="C394" s="184" t="s">
        <v>73</v>
      </c>
      <c r="D394" s="184" t="s">
        <v>78</v>
      </c>
      <c r="E394" s="184" t="s">
        <v>19</v>
      </c>
      <c r="F394" s="182">
        <v>44742</v>
      </c>
      <c r="G394" s="186" t="s">
        <v>115</v>
      </c>
      <c r="H394" s="184" t="s">
        <v>84</v>
      </c>
    </row>
    <row r="395" spans="1:20">
      <c r="A395" s="182">
        <v>44736</v>
      </c>
      <c r="B395" s="183">
        <v>0.45349537037037035</v>
      </c>
      <c r="C395" s="184" t="s">
        <v>73</v>
      </c>
      <c r="D395" s="184" t="s">
        <v>78</v>
      </c>
      <c r="E395" s="184" t="s">
        <v>19</v>
      </c>
      <c r="F395" s="182">
        <v>44847</v>
      </c>
      <c r="G395" s="186" t="s">
        <v>114</v>
      </c>
      <c r="H395" s="184" t="s">
        <v>80</v>
      </c>
    </row>
    <row r="396" spans="1:20">
      <c r="A396" s="182">
        <v>44736</v>
      </c>
      <c r="B396" s="183">
        <v>0.70396990740740739</v>
      </c>
      <c r="C396" s="184" t="s">
        <v>73</v>
      </c>
      <c r="D396" s="184" t="s">
        <v>68</v>
      </c>
      <c r="E396" s="184" t="s">
        <v>96</v>
      </c>
      <c r="F396" s="182">
        <v>44886</v>
      </c>
      <c r="G396" s="186" t="s">
        <v>94</v>
      </c>
      <c r="H396" s="184" t="s">
        <v>76</v>
      </c>
      <c r="T396" s="184" t="s">
        <v>434</v>
      </c>
    </row>
    <row r="397" spans="1:20">
      <c r="A397" s="182">
        <v>44739</v>
      </c>
      <c r="B397" s="183">
        <v>0.48069444444444448</v>
      </c>
      <c r="C397" s="184" t="s">
        <v>67</v>
      </c>
      <c r="D397" s="184" t="s">
        <v>68</v>
      </c>
      <c r="E397" s="184" t="s">
        <v>19</v>
      </c>
      <c r="F397" s="182">
        <v>44742</v>
      </c>
      <c r="G397" s="186" t="s">
        <v>99</v>
      </c>
      <c r="H397" s="184" t="s">
        <v>190</v>
      </c>
      <c r="T397" s="184" t="s">
        <v>874</v>
      </c>
    </row>
    <row r="398" spans="1:20">
      <c r="A398" s="182">
        <v>44739</v>
      </c>
      <c r="B398" s="183">
        <v>0.48104166666666665</v>
      </c>
      <c r="C398" s="184" t="s">
        <v>67</v>
      </c>
      <c r="D398" s="184" t="s">
        <v>68</v>
      </c>
      <c r="E398" s="184" t="s">
        <v>19</v>
      </c>
      <c r="F398" s="182">
        <v>44910</v>
      </c>
      <c r="G398" s="186" t="s">
        <v>94</v>
      </c>
      <c r="H398" s="184" t="s">
        <v>101</v>
      </c>
      <c r="T398" s="184" t="s">
        <v>876</v>
      </c>
    </row>
    <row r="399" spans="1:20">
      <c r="A399" s="182">
        <v>44739</v>
      </c>
      <c r="B399" s="183">
        <v>0.49371527777777779</v>
      </c>
      <c r="C399" s="184" t="s">
        <v>67</v>
      </c>
      <c r="D399" s="184" t="s">
        <v>68</v>
      </c>
      <c r="E399" s="184" t="s">
        <v>96</v>
      </c>
      <c r="F399" s="182">
        <v>44886</v>
      </c>
      <c r="G399" s="186" t="s">
        <v>94</v>
      </c>
      <c r="H399" s="184" t="s">
        <v>87</v>
      </c>
      <c r="T399" s="184" t="s">
        <v>875</v>
      </c>
    </row>
    <row r="400" spans="1:20">
      <c r="A400" s="182">
        <v>44740</v>
      </c>
      <c r="B400" s="183">
        <v>0.63912037037037039</v>
      </c>
      <c r="C400" s="184" t="s">
        <v>67</v>
      </c>
      <c r="D400" s="184" t="s">
        <v>78</v>
      </c>
      <c r="E400" s="184" t="s">
        <v>69</v>
      </c>
      <c r="F400" s="182">
        <v>44751</v>
      </c>
      <c r="G400" s="186" t="s">
        <v>112</v>
      </c>
      <c r="H400" s="184" t="s">
        <v>267</v>
      </c>
    </row>
    <row r="401" spans="1:20">
      <c r="A401" s="182">
        <v>44741</v>
      </c>
      <c r="B401" s="183">
        <v>0.3976041666666667</v>
      </c>
      <c r="C401" s="184" t="s">
        <v>73</v>
      </c>
      <c r="D401" s="184" t="s">
        <v>78</v>
      </c>
      <c r="E401" s="184" t="s">
        <v>85</v>
      </c>
      <c r="F401" s="182">
        <v>44761</v>
      </c>
      <c r="G401" s="186" t="s">
        <v>70</v>
      </c>
      <c r="H401" s="184" t="s">
        <v>86</v>
      </c>
    </row>
    <row r="402" spans="1:20">
      <c r="A402" s="182">
        <v>44741</v>
      </c>
      <c r="B402" s="183">
        <v>0.63818287037037036</v>
      </c>
      <c r="C402" s="184" t="s">
        <v>73</v>
      </c>
      <c r="D402" s="184" t="s">
        <v>68</v>
      </c>
      <c r="E402" s="184" t="s">
        <v>124</v>
      </c>
      <c r="F402" s="182">
        <v>44764</v>
      </c>
      <c r="G402" s="186" t="s">
        <v>94</v>
      </c>
      <c r="H402" s="184" t="s">
        <v>322</v>
      </c>
      <c r="T402" s="184" t="s">
        <v>877</v>
      </c>
    </row>
    <row r="403" spans="1:20">
      <c r="A403" s="182">
        <v>44743</v>
      </c>
      <c r="B403" s="183">
        <v>0.41718749999999999</v>
      </c>
      <c r="C403" s="184" t="s">
        <v>73</v>
      </c>
      <c r="D403" s="184" t="s">
        <v>68</v>
      </c>
      <c r="E403" s="184" t="s">
        <v>89</v>
      </c>
      <c r="F403" s="182">
        <v>44867</v>
      </c>
      <c r="G403" s="186" t="s">
        <v>94</v>
      </c>
      <c r="H403" s="184" t="s">
        <v>76</v>
      </c>
      <c r="T403" s="184" t="s">
        <v>878</v>
      </c>
    </row>
    <row r="404" spans="1:20">
      <c r="A404" s="182">
        <v>44746</v>
      </c>
      <c r="B404" s="183">
        <v>0.56223379629629633</v>
      </c>
      <c r="C404" s="184" t="s">
        <v>73</v>
      </c>
      <c r="D404" s="184" t="s">
        <v>91</v>
      </c>
      <c r="E404" s="184" t="s">
        <v>69</v>
      </c>
      <c r="F404" s="182">
        <v>44751</v>
      </c>
      <c r="G404" s="186" t="s">
        <v>115</v>
      </c>
      <c r="H404" s="184" t="s">
        <v>189</v>
      </c>
    </row>
    <row r="405" spans="1:20">
      <c r="A405" s="182">
        <v>44747</v>
      </c>
      <c r="B405" s="183">
        <v>0.40178240740740739</v>
      </c>
      <c r="C405" s="184" t="s">
        <v>73</v>
      </c>
      <c r="D405" s="184" t="s">
        <v>68</v>
      </c>
      <c r="E405" s="184" t="s">
        <v>69</v>
      </c>
      <c r="F405" s="182">
        <v>44792</v>
      </c>
      <c r="G405" s="186" t="s">
        <v>178</v>
      </c>
      <c r="H405" s="184" t="s">
        <v>182</v>
      </c>
      <c r="T405" s="184" t="s">
        <v>879</v>
      </c>
    </row>
    <row r="406" spans="1:20">
      <c r="A406" s="182">
        <v>44747</v>
      </c>
      <c r="B406" s="183">
        <v>0.5447453703703703</v>
      </c>
      <c r="C406" s="184" t="s">
        <v>67</v>
      </c>
      <c r="D406" s="184" t="s">
        <v>78</v>
      </c>
      <c r="E406" s="184" t="s">
        <v>19</v>
      </c>
      <c r="F406" s="182">
        <v>44847</v>
      </c>
      <c r="G406" s="186" t="s">
        <v>94</v>
      </c>
      <c r="H406" s="184" t="s">
        <v>98</v>
      </c>
    </row>
    <row r="407" spans="1:20">
      <c r="A407" s="182">
        <v>44749</v>
      </c>
      <c r="B407" s="183">
        <v>0.37937500000000002</v>
      </c>
      <c r="C407" s="184" t="s">
        <v>67</v>
      </c>
      <c r="D407" s="184" t="s">
        <v>68</v>
      </c>
      <c r="E407" s="184" t="s">
        <v>69</v>
      </c>
      <c r="F407" s="182">
        <v>44751</v>
      </c>
      <c r="G407" s="186" t="s">
        <v>99</v>
      </c>
      <c r="H407" s="184" t="s">
        <v>103</v>
      </c>
      <c r="T407" s="184" t="s">
        <v>880</v>
      </c>
    </row>
    <row r="408" spans="1:20">
      <c r="A408" s="182">
        <v>44749</v>
      </c>
      <c r="B408" s="183">
        <v>0.37976851851851851</v>
      </c>
      <c r="C408" s="184" t="s">
        <v>67</v>
      </c>
      <c r="D408" s="184" t="s">
        <v>68</v>
      </c>
      <c r="E408" s="184" t="s">
        <v>69</v>
      </c>
      <c r="F408" s="182">
        <v>44792</v>
      </c>
      <c r="G408" s="186" t="s">
        <v>94</v>
      </c>
      <c r="H408" s="184" t="s">
        <v>117</v>
      </c>
      <c r="T408" s="184" t="s">
        <v>881</v>
      </c>
    </row>
    <row r="409" spans="1:20">
      <c r="A409" s="182">
        <v>44749</v>
      </c>
      <c r="B409" s="183">
        <v>0.39356481481481481</v>
      </c>
      <c r="C409" s="184" t="s">
        <v>67</v>
      </c>
      <c r="D409" s="184" t="s">
        <v>68</v>
      </c>
      <c r="E409" s="184" t="s">
        <v>69</v>
      </c>
      <c r="F409" s="182">
        <v>44792</v>
      </c>
      <c r="G409" s="186" t="s">
        <v>94</v>
      </c>
      <c r="H409" s="184" t="s">
        <v>259</v>
      </c>
      <c r="T409" s="184" t="s">
        <v>882</v>
      </c>
    </row>
    <row r="410" spans="1:20">
      <c r="A410" s="182">
        <v>44750</v>
      </c>
      <c r="B410" s="183">
        <v>0.39081018518518523</v>
      </c>
      <c r="C410" s="184" t="s">
        <v>67</v>
      </c>
      <c r="D410" s="184" t="s">
        <v>91</v>
      </c>
      <c r="E410" s="184" t="s">
        <v>69</v>
      </c>
      <c r="F410" s="182">
        <v>44751</v>
      </c>
      <c r="G410" s="186" t="s">
        <v>114</v>
      </c>
      <c r="H410" s="184" t="s">
        <v>193</v>
      </c>
    </row>
    <row r="411" spans="1:20">
      <c r="A411" s="182">
        <v>44750</v>
      </c>
      <c r="B411" s="183">
        <v>0.47776620370370365</v>
      </c>
      <c r="C411" s="184" t="s">
        <v>67</v>
      </c>
      <c r="D411" s="184" t="s">
        <v>78</v>
      </c>
      <c r="E411" s="184" t="s">
        <v>96</v>
      </c>
      <c r="F411" s="182">
        <v>44826</v>
      </c>
      <c r="G411" s="186" t="s">
        <v>94</v>
      </c>
      <c r="H411" s="184" t="s">
        <v>265</v>
      </c>
    </row>
    <row r="412" spans="1:20">
      <c r="A412" s="182">
        <v>44750</v>
      </c>
      <c r="B412" s="183">
        <v>0.69655092592592593</v>
      </c>
      <c r="C412" s="184" t="s">
        <v>67</v>
      </c>
      <c r="D412" s="184" t="s">
        <v>91</v>
      </c>
      <c r="E412" s="184" t="s">
        <v>95</v>
      </c>
      <c r="F412" s="182">
        <v>44866</v>
      </c>
      <c r="G412" s="186" t="s">
        <v>70</v>
      </c>
      <c r="H412" s="184" t="s">
        <v>93</v>
      </c>
    </row>
    <row r="413" spans="1:20">
      <c r="A413" s="182">
        <v>44753</v>
      </c>
      <c r="B413" s="183">
        <v>0.40556712962962965</v>
      </c>
      <c r="C413" s="184" t="s">
        <v>73</v>
      </c>
      <c r="D413" s="184" t="s">
        <v>68</v>
      </c>
      <c r="E413" s="184" t="s">
        <v>124</v>
      </c>
      <c r="F413" s="182">
        <v>44764</v>
      </c>
      <c r="G413" s="186" t="s">
        <v>94</v>
      </c>
      <c r="H413" s="184" t="s">
        <v>185</v>
      </c>
      <c r="T413" s="184" t="s">
        <v>554</v>
      </c>
    </row>
    <row r="414" spans="1:20">
      <c r="A414" s="182">
        <v>44753</v>
      </c>
      <c r="B414" s="183">
        <v>0.42687499999999995</v>
      </c>
      <c r="C414" s="184" t="s">
        <v>73</v>
      </c>
      <c r="D414" s="184" t="s">
        <v>78</v>
      </c>
      <c r="E414" s="184" t="s">
        <v>96</v>
      </c>
      <c r="F414" s="182">
        <v>44886</v>
      </c>
      <c r="G414" s="186" t="s">
        <v>70</v>
      </c>
      <c r="H414" s="184" t="s">
        <v>86</v>
      </c>
    </row>
    <row r="415" spans="1:20">
      <c r="A415" s="182">
        <v>44753</v>
      </c>
      <c r="B415" s="183">
        <v>0.60607638888888882</v>
      </c>
      <c r="C415" s="184" t="s">
        <v>73</v>
      </c>
      <c r="D415" s="184" t="s">
        <v>68</v>
      </c>
      <c r="E415" s="184" t="s">
        <v>69</v>
      </c>
      <c r="F415" s="182">
        <v>44792</v>
      </c>
      <c r="G415" s="186" t="s">
        <v>94</v>
      </c>
      <c r="H415" s="184" t="s">
        <v>273</v>
      </c>
      <c r="T415" s="184" t="s">
        <v>883</v>
      </c>
    </row>
    <row r="416" spans="1:20">
      <c r="A416" s="182">
        <v>44754</v>
      </c>
      <c r="B416" s="183">
        <v>0.39827546296296296</v>
      </c>
      <c r="C416" s="184" t="s">
        <v>73</v>
      </c>
      <c r="D416" s="184" t="s">
        <v>159</v>
      </c>
      <c r="E416" s="184" t="s">
        <v>19</v>
      </c>
      <c r="F416" s="182">
        <v>44847</v>
      </c>
      <c r="G416" s="186" t="s">
        <v>70</v>
      </c>
      <c r="H416" s="184" t="s">
        <v>216</v>
      </c>
    </row>
    <row r="417" spans="1:20">
      <c r="A417" s="182">
        <v>44754</v>
      </c>
      <c r="B417" s="183">
        <v>0.58921296296296299</v>
      </c>
      <c r="C417" s="184" t="s">
        <v>67</v>
      </c>
      <c r="D417" s="184" t="s">
        <v>91</v>
      </c>
      <c r="E417" s="184" t="s">
        <v>45</v>
      </c>
      <c r="F417" s="182">
        <v>44821</v>
      </c>
      <c r="G417" s="186" t="s">
        <v>94</v>
      </c>
      <c r="H417" s="184" t="s">
        <v>92</v>
      </c>
    </row>
    <row r="418" spans="1:20">
      <c r="A418" s="182">
        <v>44754</v>
      </c>
      <c r="B418" s="183">
        <v>0.5895717592592592</v>
      </c>
      <c r="C418" s="184" t="s">
        <v>67</v>
      </c>
      <c r="D418" s="184" t="s">
        <v>91</v>
      </c>
      <c r="E418" s="184" t="s">
        <v>19</v>
      </c>
      <c r="F418" s="182">
        <v>44847</v>
      </c>
      <c r="G418" s="186" t="s">
        <v>70</v>
      </c>
      <c r="H418" s="184" t="s">
        <v>93</v>
      </c>
    </row>
    <row r="419" spans="1:20">
      <c r="A419" s="182">
        <v>44754</v>
      </c>
      <c r="B419" s="183">
        <v>0.61671296296296296</v>
      </c>
      <c r="C419" s="184" t="s">
        <v>73</v>
      </c>
      <c r="D419" s="184" t="s">
        <v>68</v>
      </c>
      <c r="E419" s="184" t="s">
        <v>19</v>
      </c>
      <c r="F419" s="182">
        <v>44847</v>
      </c>
      <c r="G419" s="186" t="s">
        <v>75</v>
      </c>
      <c r="H419" s="184" t="s">
        <v>76</v>
      </c>
      <c r="T419" s="184" t="s">
        <v>375</v>
      </c>
    </row>
    <row r="420" spans="1:20">
      <c r="A420" s="182">
        <v>44754</v>
      </c>
      <c r="B420" s="183">
        <v>0.61993055555555554</v>
      </c>
      <c r="C420" s="184" t="s">
        <v>73</v>
      </c>
      <c r="D420" s="184" t="s">
        <v>68</v>
      </c>
      <c r="E420" s="184" t="s">
        <v>45</v>
      </c>
      <c r="F420" s="182">
        <v>44821</v>
      </c>
      <c r="G420" s="186" t="s">
        <v>75</v>
      </c>
      <c r="H420" s="184" t="s">
        <v>76</v>
      </c>
      <c r="T420" s="184" t="s">
        <v>375</v>
      </c>
    </row>
    <row r="421" spans="1:20">
      <c r="A421" s="182">
        <v>44755</v>
      </c>
      <c r="B421" s="183">
        <v>0.45577546296296295</v>
      </c>
      <c r="C421" s="184" t="s">
        <v>67</v>
      </c>
      <c r="D421" s="184" t="s">
        <v>91</v>
      </c>
      <c r="E421" s="184" t="s">
        <v>19</v>
      </c>
      <c r="F421" s="182">
        <v>44847</v>
      </c>
      <c r="G421" s="186" t="s">
        <v>70</v>
      </c>
      <c r="H421" s="184" t="s">
        <v>92</v>
      </c>
    </row>
    <row r="422" spans="1:20">
      <c r="A422" s="182">
        <v>44755</v>
      </c>
      <c r="B422" s="183">
        <v>0.4558680555555556</v>
      </c>
      <c r="C422" s="184" t="s">
        <v>67</v>
      </c>
      <c r="D422" s="184" t="s">
        <v>91</v>
      </c>
      <c r="E422" s="184" t="s">
        <v>19</v>
      </c>
      <c r="F422" s="182">
        <v>44847</v>
      </c>
      <c r="G422" s="186" t="s">
        <v>94</v>
      </c>
      <c r="H422" s="184" t="s">
        <v>227</v>
      </c>
    </row>
    <row r="423" spans="1:20">
      <c r="A423" s="182">
        <v>44757</v>
      </c>
      <c r="B423" s="183">
        <v>0.38152777777777774</v>
      </c>
      <c r="C423" s="184" t="s">
        <v>67</v>
      </c>
      <c r="D423" s="184" t="s">
        <v>159</v>
      </c>
      <c r="E423" s="184" t="s">
        <v>19</v>
      </c>
      <c r="F423" s="182">
        <v>44847</v>
      </c>
      <c r="G423" s="186" t="s">
        <v>99</v>
      </c>
      <c r="H423" s="184" t="s">
        <v>740</v>
      </c>
    </row>
    <row r="424" spans="1:20">
      <c r="A424" s="182">
        <v>44761</v>
      </c>
      <c r="B424" s="183">
        <v>0.5838888888888889</v>
      </c>
      <c r="C424" s="184" t="s">
        <v>67</v>
      </c>
      <c r="D424" s="184" t="s">
        <v>91</v>
      </c>
      <c r="E424" s="184" t="s">
        <v>96</v>
      </c>
      <c r="F424" s="182">
        <v>44826</v>
      </c>
      <c r="G424" s="186" t="s">
        <v>70</v>
      </c>
      <c r="H424" s="184" t="s">
        <v>93</v>
      </c>
    </row>
    <row r="425" spans="1:20">
      <c r="A425" s="182">
        <v>44761</v>
      </c>
      <c r="B425" s="183">
        <v>0.65597222222222229</v>
      </c>
      <c r="C425" s="184" t="s">
        <v>67</v>
      </c>
      <c r="D425" s="184" t="s">
        <v>78</v>
      </c>
      <c r="E425" s="184" t="s">
        <v>124</v>
      </c>
      <c r="F425" s="182">
        <v>44764</v>
      </c>
      <c r="G425" s="186" t="s">
        <v>99</v>
      </c>
      <c r="H425" s="184" t="s">
        <v>288</v>
      </c>
    </row>
    <row r="426" spans="1:20">
      <c r="A426" s="182">
        <v>44761</v>
      </c>
      <c r="B426" s="183">
        <v>0.65605324074074078</v>
      </c>
      <c r="C426" s="184" t="s">
        <v>67</v>
      </c>
      <c r="D426" s="184" t="s">
        <v>78</v>
      </c>
      <c r="E426" s="184" t="s">
        <v>124</v>
      </c>
      <c r="F426" s="182">
        <v>44887</v>
      </c>
      <c r="G426" s="186" t="s">
        <v>70</v>
      </c>
      <c r="H426" s="184" t="s">
        <v>86</v>
      </c>
    </row>
    <row r="427" spans="1:20">
      <c r="A427" s="182">
        <v>44762</v>
      </c>
      <c r="B427" s="183">
        <v>0.42124999999999996</v>
      </c>
      <c r="C427" s="184" t="s">
        <v>67</v>
      </c>
      <c r="D427" s="184" t="s">
        <v>91</v>
      </c>
      <c r="E427" s="184" t="s">
        <v>124</v>
      </c>
      <c r="F427" s="182">
        <v>44764</v>
      </c>
      <c r="G427" s="186" t="s">
        <v>99</v>
      </c>
      <c r="H427" s="184" t="s">
        <v>92</v>
      </c>
    </row>
    <row r="428" spans="1:20">
      <c r="A428" s="182">
        <v>44762</v>
      </c>
      <c r="B428" s="183">
        <v>0.42133101851851856</v>
      </c>
      <c r="C428" s="184" t="s">
        <v>67</v>
      </c>
      <c r="D428" s="184" t="s">
        <v>91</v>
      </c>
      <c r="E428" s="184" t="s">
        <v>124</v>
      </c>
      <c r="F428" s="182">
        <v>44887</v>
      </c>
      <c r="G428" s="186" t="s">
        <v>70</v>
      </c>
      <c r="H428" s="184" t="s">
        <v>93</v>
      </c>
    </row>
    <row r="429" spans="1:20">
      <c r="A429" s="182">
        <v>44762</v>
      </c>
      <c r="B429" s="183">
        <v>0.42907407407407411</v>
      </c>
      <c r="C429" s="184" t="s">
        <v>67</v>
      </c>
      <c r="D429" s="184" t="s">
        <v>68</v>
      </c>
      <c r="E429" s="184" t="s">
        <v>69</v>
      </c>
      <c r="F429" s="182">
        <v>44792</v>
      </c>
      <c r="G429" s="186" t="s">
        <v>114</v>
      </c>
      <c r="H429" s="184" t="s">
        <v>260</v>
      </c>
      <c r="T429" s="184" t="s">
        <v>789</v>
      </c>
    </row>
    <row r="430" spans="1:20">
      <c r="A430" s="182">
        <v>44762</v>
      </c>
      <c r="B430" s="183">
        <v>0.4365856481481481</v>
      </c>
      <c r="C430" s="184" t="s">
        <v>67</v>
      </c>
      <c r="D430" s="184" t="s">
        <v>68</v>
      </c>
      <c r="E430" s="184" t="s">
        <v>69</v>
      </c>
      <c r="F430" s="182">
        <v>44792</v>
      </c>
      <c r="G430" s="186" t="s">
        <v>83</v>
      </c>
      <c r="H430" s="184" t="s">
        <v>185</v>
      </c>
      <c r="T430" s="184" t="s">
        <v>884</v>
      </c>
    </row>
    <row r="431" spans="1:20">
      <c r="A431" s="182">
        <v>44762</v>
      </c>
      <c r="B431" s="183">
        <v>0.57412037037037034</v>
      </c>
      <c r="C431" s="184" t="s">
        <v>67</v>
      </c>
      <c r="D431" s="184" t="s">
        <v>78</v>
      </c>
      <c r="E431" s="184" t="s">
        <v>69</v>
      </c>
      <c r="F431" s="182">
        <v>44792</v>
      </c>
      <c r="G431" s="186" t="s">
        <v>70</v>
      </c>
      <c r="H431" s="184" t="s">
        <v>86</v>
      </c>
    </row>
    <row r="432" spans="1:20">
      <c r="A432" s="182">
        <v>44762</v>
      </c>
      <c r="B432" s="183">
        <v>0.58043981481481477</v>
      </c>
      <c r="C432" s="184" t="s">
        <v>67</v>
      </c>
      <c r="D432" s="184" t="s">
        <v>78</v>
      </c>
      <c r="E432" s="184" t="s">
        <v>95</v>
      </c>
      <c r="F432" s="182">
        <v>44866</v>
      </c>
      <c r="G432" s="186" t="s">
        <v>94</v>
      </c>
      <c r="H432" s="184" t="s">
        <v>86</v>
      </c>
    </row>
    <row r="433" spans="1:20">
      <c r="A433" s="182">
        <v>44763</v>
      </c>
      <c r="B433" s="183">
        <v>0.41763888888888889</v>
      </c>
      <c r="C433" s="184" t="s">
        <v>67</v>
      </c>
      <c r="D433" s="184" t="s">
        <v>159</v>
      </c>
      <c r="E433" s="184" t="s">
        <v>96</v>
      </c>
      <c r="F433" s="182">
        <v>44826</v>
      </c>
      <c r="G433" s="186" t="s">
        <v>70</v>
      </c>
      <c r="H433" s="184" t="s">
        <v>216</v>
      </c>
    </row>
    <row r="434" spans="1:20">
      <c r="A434" s="182">
        <v>44763</v>
      </c>
      <c r="B434" s="183">
        <v>0.44275462962962964</v>
      </c>
      <c r="C434" s="184" t="s">
        <v>73</v>
      </c>
      <c r="D434" s="184" t="s">
        <v>68</v>
      </c>
      <c r="E434" s="184" t="s">
        <v>124</v>
      </c>
      <c r="F434" s="182">
        <v>44764</v>
      </c>
      <c r="G434" s="186" t="s">
        <v>99</v>
      </c>
      <c r="H434" s="184" t="s">
        <v>322</v>
      </c>
      <c r="T434" s="184" t="s">
        <v>885</v>
      </c>
    </row>
    <row r="435" spans="1:20">
      <c r="A435" s="182">
        <v>44763</v>
      </c>
      <c r="B435" s="183">
        <v>0.44383101851851853</v>
      </c>
      <c r="C435" s="184" t="s">
        <v>73</v>
      </c>
      <c r="D435" s="184" t="s">
        <v>68</v>
      </c>
      <c r="E435" s="184" t="s">
        <v>124</v>
      </c>
      <c r="F435" s="182">
        <v>44887</v>
      </c>
      <c r="G435" s="186" t="s">
        <v>94</v>
      </c>
      <c r="H435" s="184" t="s">
        <v>261</v>
      </c>
      <c r="T435" s="275" t="s">
        <v>886</v>
      </c>
    </row>
    <row r="436" spans="1:20">
      <c r="A436" s="182">
        <v>44763</v>
      </c>
      <c r="B436" s="183">
        <v>0.50511574074074073</v>
      </c>
      <c r="C436" s="184" t="s">
        <v>73</v>
      </c>
      <c r="D436" s="184" t="s">
        <v>68</v>
      </c>
      <c r="E436" s="184" t="s">
        <v>69</v>
      </c>
      <c r="F436" s="182">
        <v>44792</v>
      </c>
      <c r="G436" s="186" t="s">
        <v>94</v>
      </c>
      <c r="H436" s="184" t="s">
        <v>308</v>
      </c>
      <c r="T436" s="184" t="s">
        <v>887</v>
      </c>
    </row>
    <row r="437" spans="1:20">
      <c r="A437" s="182">
        <v>44764</v>
      </c>
      <c r="B437" s="183">
        <v>0.44053240740740746</v>
      </c>
      <c r="C437" s="184" t="s">
        <v>73</v>
      </c>
      <c r="D437" s="184" t="s">
        <v>68</v>
      </c>
      <c r="E437" s="184" t="s">
        <v>69</v>
      </c>
      <c r="F437" s="182">
        <v>44792</v>
      </c>
      <c r="G437" s="186" t="s">
        <v>94</v>
      </c>
      <c r="H437" s="184" t="s">
        <v>190</v>
      </c>
      <c r="T437" s="184" t="s">
        <v>877</v>
      </c>
    </row>
    <row r="438" spans="1:20">
      <c r="A438" s="182">
        <v>44764</v>
      </c>
      <c r="B438" s="183">
        <v>0.66236111111111107</v>
      </c>
      <c r="C438" s="184" t="s">
        <v>73</v>
      </c>
      <c r="D438" s="184" t="s">
        <v>78</v>
      </c>
      <c r="E438" s="184" t="s">
        <v>96</v>
      </c>
      <c r="F438" s="182">
        <v>44826</v>
      </c>
      <c r="G438" s="186" t="s">
        <v>94</v>
      </c>
      <c r="H438" s="184" t="s">
        <v>288</v>
      </c>
    </row>
    <row r="439" spans="1:20">
      <c r="A439" s="182">
        <v>44767</v>
      </c>
      <c r="B439" s="183">
        <v>0.46555555555555556</v>
      </c>
      <c r="C439" s="184" t="s">
        <v>67</v>
      </c>
      <c r="D439" s="184" t="s">
        <v>68</v>
      </c>
      <c r="E439" s="184" t="s">
        <v>69</v>
      </c>
      <c r="F439" s="182">
        <v>44792</v>
      </c>
      <c r="G439" s="186" t="s">
        <v>178</v>
      </c>
      <c r="H439" s="184" t="s">
        <v>225</v>
      </c>
      <c r="T439" s="184" t="s">
        <v>888</v>
      </c>
    </row>
    <row r="440" spans="1:20">
      <c r="A440" s="182">
        <v>44770</v>
      </c>
      <c r="B440" s="183">
        <v>0.43184027777777773</v>
      </c>
      <c r="C440" s="184" t="s">
        <v>67</v>
      </c>
      <c r="D440" s="184" t="s">
        <v>68</v>
      </c>
      <c r="E440" s="184" t="s">
        <v>45</v>
      </c>
      <c r="F440" s="182">
        <v>44821</v>
      </c>
      <c r="G440" s="186" t="s">
        <v>112</v>
      </c>
      <c r="H440" s="184" t="s">
        <v>103</v>
      </c>
      <c r="T440" s="184" t="s">
        <v>567</v>
      </c>
    </row>
    <row r="441" spans="1:20">
      <c r="A441" s="182">
        <v>44771</v>
      </c>
      <c r="B441" s="183">
        <v>0.45384259259259258</v>
      </c>
      <c r="C441" s="184" t="s">
        <v>67</v>
      </c>
      <c r="D441" s="184" t="s">
        <v>68</v>
      </c>
      <c r="E441" s="184" t="s">
        <v>69</v>
      </c>
      <c r="F441" s="182">
        <v>44792</v>
      </c>
      <c r="G441" s="186" t="s">
        <v>178</v>
      </c>
      <c r="H441" s="184" t="s">
        <v>521</v>
      </c>
      <c r="T441" s="184" t="s">
        <v>889</v>
      </c>
    </row>
    <row r="442" spans="1:20">
      <c r="A442" s="182">
        <v>44771</v>
      </c>
      <c r="B442" s="183">
        <v>0.63896990740740744</v>
      </c>
      <c r="C442" s="184" t="s">
        <v>67</v>
      </c>
      <c r="D442" s="184" t="s">
        <v>68</v>
      </c>
      <c r="E442" s="184" t="s">
        <v>96</v>
      </c>
      <c r="F442" s="182">
        <v>44826</v>
      </c>
      <c r="G442" s="186" t="s">
        <v>94</v>
      </c>
      <c r="H442" s="184" t="s">
        <v>76</v>
      </c>
      <c r="T442" s="184" t="s">
        <v>110</v>
      </c>
    </row>
    <row r="443" spans="1:20">
      <c r="A443" s="182">
        <v>44774</v>
      </c>
      <c r="B443" s="183">
        <v>0.38618055555555553</v>
      </c>
      <c r="C443" s="184" t="s">
        <v>67</v>
      </c>
      <c r="D443" s="184" t="s">
        <v>68</v>
      </c>
      <c r="E443" s="184" t="s">
        <v>69</v>
      </c>
      <c r="F443" s="182">
        <v>44792</v>
      </c>
      <c r="G443" s="186" t="s">
        <v>99</v>
      </c>
      <c r="H443" s="184" t="s">
        <v>245</v>
      </c>
      <c r="T443" s="184" t="s">
        <v>889</v>
      </c>
    </row>
    <row r="444" spans="1:20">
      <c r="A444" s="182">
        <v>44774</v>
      </c>
      <c r="B444" s="183">
        <v>0.39730324074074069</v>
      </c>
      <c r="C444" s="184" t="s">
        <v>67</v>
      </c>
      <c r="D444" s="184" t="s">
        <v>78</v>
      </c>
      <c r="E444" s="184" t="s">
        <v>69</v>
      </c>
      <c r="F444" s="182">
        <v>44792</v>
      </c>
      <c r="G444" s="186" t="s">
        <v>94</v>
      </c>
      <c r="H444" s="184" t="s">
        <v>107</v>
      </c>
    </row>
    <row r="445" spans="1:20">
      <c r="A445" s="182">
        <v>44774</v>
      </c>
      <c r="B445" s="183">
        <v>0.42293981481481485</v>
      </c>
      <c r="C445" s="184" t="s">
        <v>67</v>
      </c>
      <c r="D445" s="184" t="s">
        <v>68</v>
      </c>
      <c r="E445" s="184" t="s">
        <v>89</v>
      </c>
      <c r="F445" s="182">
        <v>44867</v>
      </c>
      <c r="G445" s="186" t="s">
        <v>94</v>
      </c>
      <c r="H445" s="184" t="s">
        <v>87</v>
      </c>
      <c r="T445" s="184" t="s">
        <v>257</v>
      </c>
    </row>
    <row r="446" spans="1:20">
      <c r="A446" s="182">
        <v>44774</v>
      </c>
      <c r="B446" s="183">
        <v>0.44549768518518523</v>
      </c>
      <c r="C446" s="184" t="s">
        <v>67</v>
      </c>
      <c r="D446" s="184" t="s">
        <v>68</v>
      </c>
      <c r="E446" s="184" t="s">
        <v>204</v>
      </c>
      <c r="F446" s="182">
        <v>44858</v>
      </c>
      <c r="G446" s="186" t="s">
        <v>112</v>
      </c>
      <c r="H446" s="184" t="s">
        <v>101</v>
      </c>
      <c r="T446" s="184" t="s">
        <v>890</v>
      </c>
    </row>
    <row r="447" spans="1:20">
      <c r="A447" s="182">
        <v>44776</v>
      </c>
      <c r="B447" s="183">
        <v>0.38104166666666667</v>
      </c>
      <c r="C447" s="184" t="s">
        <v>67</v>
      </c>
      <c r="D447" s="184" t="s">
        <v>91</v>
      </c>
      <c r="E447" s="184" t="s">
        <v>204</v>
      </c>
      <c r="F447" s="182">
        <v>44858</v>
      </c>
      <c r="G447" s="186" t="s">
        <v>112</v>
      </c>
      <c r="H447" s="184" t="s">
        <v>285</v>
      </c>
    </row>
    <row r="448" spans="1:20">
      <c r="A448" s="182">
        <v>44776</v>
      </c>
      <c r="B448" s="183">
        <v>0.3812962962962963</v>
      </c>
      <c r="C448" s="184" t="s">
        <v>67</v>
      </c>
      <c r="D448" s="184" t="s">
        <v>91</v>
      </c>
      <c r="E448" s="184" t="s">
        <v>19</v>
      </c>
      <c r="F448" s="182">
        <v>44847</v>
      </c>
      <c r="G448" s="186" t="s">
        <v>94</v>
      </c>
      <c r="H448" s="184" t="s">
        <v>285</v>
      </c>
    </row>
    <row r="449" spans="1:20">
      <c r="A449" s="182">
        <v>44776</v>
      </c>
      <c r="B449" s="183">
        <v>0.4418171296296296</v>
      </c>
      <c r="C449" s="184" t="s">
        <v>73</v>
      </c>
      <c r="D449" s="184" t="s">
        <v>68</v>
      </c>
      <c r="E449" s="184" t="s">
        <v>69</v>
      </c>
      <c r="F449" s="182">
        <v>44792</v>
      </c>
      <c r="G449" s="186" t="s">
        <v>114</v>
      </c>
      <c r="H449" s="184" t="s">
        <v>392</v>
      </c>
      <c r="T449" s="184" t="s">
        <v>891</v>
      </c>
    </row>
    <row r="450" spans="1:20">
      <c r="A450" s="182">
        <v>44778</v>
      </c>
      <c r="B450" s="183">
        <v>0.41343749999999996</v>
      </c>
      <c r="C450" s="184" t="s">
        <v>73</v>
      </c>
      <c r="D450" s="184" t="s">
        <v>68</v>
      </c>
      <c r="E450" s="184" t="s">
        <v>69</v>
      </c>
      <c r="F450" s="182">
        <v>44792</v>
      </c>
      <c r="G450" s="186" t="s">
        <v>114</v>
      </c>
      <c r="H450" s="184" t="s">
        <v>237</v>
      </c>
      <c r="T450" s="184" t="s">
        <v>892</v>
      </c>
    </row>
    <row r="451" spans="1:20">
      <c r="A451" s="182">
        <v>44781</v>
      </c>
      <c r="B451" s="183">
        <v>0.38745370370370374</v>
      </c>
      <c r="C451" s="184" t="s">
        <v>67</v>
      </c>
      <c r="D451" s="184" t="s">
        <v>68</v>
      </c>
      <c r="E451" s="184" t="s">
        <v>69</v>
      </c>
      <c r="F451" s="182">
        <v>44792</v>
      </c>
      <c r="G451" s="186" t="s">
        <v>94</v>
      </c>
      <c r="H451" s="184" t="s">
        <v>243</v>
      </c>
      <c r="T451" s="184" t="s">
        <v>893</v>
      </c>
    </row>
    <row r="452" spans="1:20">
      <c r="A452" s="182">
        <v>44781</v>
      </c>
      <c r="B452" s="183">
        <v>0.39553240740740742</v>
      </c>
      <c r="C452" s="184" t="s">
        <v>67</v>
      </c>
      <c r="D452" s="184" t="s">
        <v>68</v>
      </c>
      <c r="E452" s="184" t="s">
        <v>69</v>
      </c>
      <c r="F452" s="182">
        <v>44792</v>
      </c>
      <c r="G452" s="186" t="s">
        <v>115</v>
      </c>
      <c r="H452" s="184" t="s">
        <v>247</v>
      </c>
      <c r="T452" s="184" t="s">
        <v>210</v>
      </c>
    </row>
    <row r="453" spans="1:20">
      <c r="A453" s="182">
        <v>44782</v>
      </c>
      <c r="B453" s="183">
        <v>0.59703703703703703</v>
      </c>
      <c r="C453" s="184" t="s">
        <v>67</v>
      </c>
      <c r="D453" s="184" t="s">
        <v>78</v>
      </c>
      <c r="E453" s="184" t="s">
        <v>124</v>
      </c>
      <c r="F453" s="182">
        <v>44887</v>
      </c>
      <c r="G453" s="186" t="s">
        <v>94</v>
      </c>
      <c r="H453" s="184" t="s">
        <v>107</v>
      </c>
    </row>
    <row r="454" spans="1:20">
      <c r="A454" s="182">
        <v>44782</v>
      </c>
      <c r="B454" s="183">
        <v>0.66090277777777773</v>
      </c>
      <c r="C454" s="184" t="s">
        <v>73</v>
      </c>
      <c r="D454" s="184" t="s">
        <v>91</v>
      </c>
      <c r="E454" s="184" t="s">
        <v>45</v>
      </c>
      <c r="F454" s="182">
        <v>44821</v>
      </c>
      <c r="G454" s="186" t="s">
        <v>114</v>
      </c>
      <c r="H454" s="184" t="s">
        <v>285</v>
      </c>
    </row>
    <row r="455" spans="1:20">
      <c r="A455" s="182">
        <v>44790</v>
      </c>
      <c r="B455" s="183">
        <v>0.38650462962962967</v>
      </c>
      <c r="C455" s="184" t="s">
        <v>67</v>
      </c>
      <c r="D455" s="184" t="s">
        <v>91</v>
      </c>
      <c r="E455" s="184" t="s">
        <v>85</v>
      </c>
      <c r="F455" s="182">
        <v>44896</v>
      </c>
      <c r="G455" s="186" t="s">
        <v>70</v>
      </c>
      <c r="H455" s="184" t="s">
        <v>93</v>
      </c>
    </row>
    <row r="456" spans="1:20">
      <c r="A456" s="182">
        <v>44790</v>
      </c>
      <c r="B456" s="183">
        <v>0.49864583333333329</v>
      </c>
      <c r="C456" s="184" t="s">
        <v>67</v>
      </c>
      <c r="D456" s="184" t="s">
        <v>91</v>
      </c>
      <c r="E456" s="184" t="s">
        <v>96</v>
      </c>
      <c r="F456" s="182">
        <v>44826</v>
      </c>
      <c r="G456" s="186" t="s">
        <v>94</v>
      </c>
      <c r="H456" s="184" t="s">
        <v>92</v>
      </c>
    </row>
    <row r="457" spans="1:20">
      <c r="A457" s="182">
        <v>44791</v>
      </c>
      <c r="B457" s="183">
        <v>0.54378472222222218</v>
      </c>
      <c r="C457" s="184" t="s">
        <v>67</v>
      </c>
      <c r="D457" s="184" t="s">
        <v>68</v>
      </c>
      <c r="E457" s="184" t="s">
        <v>69</v>
      </c>
      <c r="F457" s="182">
        <v>44792</v>
      </c>
      <c r="G457" s="186" t="s">
        <v>114</v>
      </c>
      <c r="H457" s="184" t="s">
        <v>243</v>
      </c>
      <c r="T457" s="184" t="s">
        <v>894</v>
      </c>
    </row>
    <row r="458" spans="1:20">
      <c r="A458" s="182">
        <v>44795</v>
      </c>
      <c r="B458" s="183">
        <v>0.39945601851851853</v>
      </c>
      <c r="C458" s="184" t="s">
        <v>67</v>
      </c>
      <c r="D458" s="184" t="s">
        <v>68</v>
      </c>
      <c r="E458" s="184" t="s">
        <v>69</v>
      </c>
      <c r="F458" s="182">
        <v>44792</v>
      </c>
      <c r="G458" s="186" t="s">
        <v>115</v>
      </c>
      <c r="H458" s="184" t="s">
        <v>247</v>
      </c>
      <c r="T458" s="184" t="s">
        <v>895</v>
      </c>
    </row>
    <row r="459" spans="1:20">
      <c r="A459" s="182">
        <v>44795</v>
      </c>
      <c r="B459" s="183">
        <v>0.49851851851851853</v>
      </c>
      <c r="C459" s="184" t="s">
        <v>73</v>
      </c>
      <c r="D459" s="184" t="s">
        <v>91</v>
      </c>
      <c r="E459" s="184" t="s">
        <v>45</v>
      </c>
      <c r="F459" s="182">
        <v>44821</v>
      </c>
      <c r="G459" s="186" t="s">
        <v>99</v>
      </c>
      <c r="H459" s="184" t="s">
        <v>227</v>
      </c>
    </row>
    <row r="460" spans="1:20">
      <c r="A460" s="182">
        <v>44795</v>
      </c>
      <c r="B460" s="183">
        <v>0.63591435185185186</v>
      </c>
      <c r="C460" s="184" t="s">
        <v>73</v>
      </c>
      <c r="D460" s="184" t="s">
        <v>78</v>
      </c>
      <c r="E460" s="184" t="s">
        <v>96</v>
      </c>
      <c r="F460" s="182">
        <v>44886</v>
      </c>
      <c r="G460" s="186" t="s">
        <v>94</v>
      </c>
      <c r="H460" s="184" t="s">
        <v>107</v>
      </c>
    </row>
    <row r="461" spans="1:20">
      <c r="A461" s="182">
        <v>44795</v>
      </c>
      <c r="B461" s="183">
        <v>0.63609953703703703</v>
      </c>
      <c r="C461" s="184" t="s">
        <v>73</v>
      </c>
      <c r="D461" s="184" t="s">
        <v>78</v>
      </c>
      <c r="E461" s="184" t="s">
        <v>69</v>
      </c>
      <c r="F461" s="182">
        <v>44845</v>
      </c>
      <c r="G461" s="186" t="s">
        <v>70</v>
      </c>
      <c r="H461" s="184" t="s">
        <v>86</v>
      </c>
    </row>
    <row r="462" spans="1:20">
      <c r="A462" s="182">
        <v>44795</v>
      </c>
      <c r="B462" s="183">
        <v>0.65685185185185191</v>
      </c>
      <c r="C462" s="184" t="s">
        <v>67</v>
      </c>
      <c r="D462" s="184" t="s">
        <v>78</v>
      </c>
      <c r="E462" s="184" t="s">
        <v>96</v>
      </c>
      <c r="F462" s="182">
        <v>44826</v>
      </c>
      <c r="G462" s="186" t="s">
        <v>94</v>
      </c>
      <c r="H462" s="184" t="s">
        <v>267</v>
      </c>
    </row>
    <row r="463" spans="1:20">
      <c r="A463" s="182">
        <v>44796</v>
      </c>
      <c r="B463" s="183">
        <v>0.37252314814814813</v>
      </c>
      <c r="C463" s="184" t="s">
        <v>67</v>
      </c>
      <c r="D463" s="184" t="s">
        <v>78</v>
      </c>
      <c r="E463" s="184" t="s">
        <v>96</v>
      </c>
      <c r="F463" s="182">
        <v>44826</v>
      </c>
      <c r="G463" s="186" t="s">
        <v>94</v>
      </c>
      <c r="H463" s="184" t="s">
        <v>327</v>
      </c>
    </row>
    <row r="464" spans="1:20">
      <c r="A464" s="182">
        <v>44798</v>
      </c>
      <c r="B464" s="183">
        <v>0.60982638888888896</v>
      </c>
      <c r="C464" s="184" t="s">
        <v>67</v>
      </c>
      <c r="D464" s="184" t="s">
        <v>78</v>
      </c>
      <c r="E464" s="184" t="s">
        <v>89</v>
      </c>
      <c r="F464" s="182">
        <v>44867</v>
      </c>
      <c r="G464" s="186" t="s">
        <v>70</v>
      </c>
      <c r="H464" s="184" t="s">
        <v>86</v>
      </c>
    </row>
    <row r="465" spans="1:20">
      <c r="A465" s="182">
        <v>44798</v>
      </c>
      <c r="B465" s="183">
        <v>0.60996527777777776</v>
      </c>
      <c r="C465" s="184" t="s">
        <v>67</v>
      </c>
      <c r="D465" s="184" t="s">
        <v>78</v>
      </c>
      <c r="E465" s="184" t="s">
        <v>124</v>
      </c>
      <c r="F465" s="182">
        <v>44887</v>
      </c>
      <c r="G465" s="186" t="s">
        <v>94</v>
      </c>
      <c r="H465" s="184" t="s">
        <v>106</v>
      </c>
    </row>
    <row r="466" spans="1:20">
      <c r="A466" s="182">
        <v>44799</v>
      </c>
      <c r="B466" s="183">
        <v>0.50964120370370369</v>
      </c>
      <c r="C466" s="184" t="s">
        <v>73</v>
      </c>
      <c r="D466" s="184" t="s">
        <v>68</v>
      </c>
      <c r="E466" s="184" t="s">
        <v>85</v>
      </c>
      <c r="F466" s="182">
        <v>44896</v>
      </c>
      <c r="G466" s="186" t="s">
        <v>94</v>
      </c>
      <c r="H466" s="184" t="s">
        <v>76</v>
      </c>
      <c r="T466" s="184" t="s">
        <v>896</v>
      </c>
    </row>
    <row r="467" spans="1:20">
      <c r="A467" s="182">
        <v>44802</v>
      </c>
      <c r="B467" s="183">
        <v>0.46865740740740741</v>
      </c>
      <c r="C467" s="184" t="s">
        <v>67</v>
      </c>
      <c r="D467" s="184" t="s">
        <v>68</v>
      </c>
      <c r="E467" s="184" t="s">
        <v>69</v>
      </c>
      <c r="F467" s="182">
        <v>44845</v>
      </c>
      <c r="G467" s="186" t="s">
        <v>94</v>
      </c>
      <c r="H467" s="184" t="s">
        <v>101</v>
      </c>
      <c r="T467" s="184" t="s">
        <v>897</v>
      </c>
    </row>
    <row r="468" spans="1:20">
      <c r="A468" s="182">
        <v>44802</v>
      </c>
      <c r="B468" s="183">
        <v>0.55251157407407414</v>
      </c>
      <c r="C468" s="184" t="s">
        <v>67</v>
      </c>
      <c r="D468" s="184" t="s">
        <v>68</v>
      </c>
      <c r="E468" s="184" t="s">
        <v>69</v>
      </c>
      <c r="F468" s="182">
        <v>44845</v>
      </c>
      <c r="G468" s="186" t="s">
        <v>99</v>
      </c>
      <c r="H468" s="184" t="s">
        <v>87</v>
      </c>
      <c r="T468" s="184" t="s">
        <v>897</v>
      </c>
    </row>
    <row r="469" spans="1:20">
      <c r="A469" s="182">
        <v>44802</v>
      </c>
      <c r="B469" s="183">
        <v>0.63305555555555559</v>
      </c>
      <c r="C469" s="184" t="s">
        <v>67</v>
      </c>
      <c r="D469" s="184" t="s">
        <v>78</v>
      </c>
      <c r="E469" s="184" t="s">
        <v>124</v>
      </c>
      <c r="F469" s="182">
        <v>44887</v>
      </c>
      <c r="G469" s="186" t="s">
        <v>94</v>
      </c>
      <c r="H469" s="184" t="s">
        <v>113</v>
      </c>
    </row>
    <row r="470" spans="1:20">
      <c r="A470" s="182">
        <v>44803</v>
      </c>
      <c r="B470" s="183">
        <v>0.44494212962962965</v>
      </c>
      <c r="C470" s="184" t="s">
        <v>67</v>
      </c>
      <c r="D470" s="184" t="s">
        <v>78</v>
      </c>
      <c r="E470" s="184" t="s">
        <v>96</v>
      </c>
      <c r="F470" s="182">
        <v>44826</v>
      </c>
      <c r="G470" s="186" t="s">
        <v>94</v>
      </c>
      <c r="H470" s="184" t="s">
        <v>82</v>
      </c>
    </row>
    <row r="471" spans="1:20">
      <c r="A471" s="182">
        <v>44803</v>
      </c>
      <c r="B471" s="183">
        <v>0.5739467592592592</v>
      </c>
      <c r="C471" s="184" t="s">
        <v>67</v>
      </c>
      <c r="D471" s="184" t="s">
        <v>68</v>
      </c>
      <c r="E471" s="184" t="s">
        <v>19</v>
      </c>
      <c r="F471" s="182">
        <v>44847</v>
      </c>
      <c r="G471" s="186" t="s">
        <v>94</v>
      </c>
      <c r="H471" s="184" t="s">
        <v>87</v>
      </c>
      <c r="T471" s="184" t="s">
        <v>234</v>
      </c>
    </row>
    <row r="472" spans="1:20">
      <c r="A472" s="182">
        <v>44803</v>
      </c>
      <c r="B472" s="183">
        <v>0.57444444444444442</v>
      </c>
      <c r="C472" s="184" t="s">
        <v>67</v>
      </c>
      <c r="D472" s="184" t="s">
        <v>68</v>
      </c>
      <c r="E472" s="184" t="s">
        <v>45</v>
      </c>
      <c r="F472" s="182">
        <v>44821</v>
      </c>
      <c r="G472" s="186" t="s">
        <v>94</v>
      </c>
      <c r="H472" s="184" t="s">
        <v>182</v>
      </c>
      <c r="T472" s="184" t="s">
        <v>234</v>
      </c>
    </row>
    <row r="473" spans="1:20">
      <c r="A473" s="182">
        <v>44803</v>
      </c>
      <c r="B473" s="183">
        <v>0.60819444444444437</v>
      </c>
      <c r="C473" s="184" t="s">
        <v>67</v>
      </c>
      <c r="D473" s="184" t="s">
        <v>159</v>
      </c>
      <c r="E473" s="184" t="s">
        <v>96</v>
      </c>
      <c r="F473" s="182">
        <v>44886</v>
      </c>
      <c r="G473" s="186" t="s">
        <v>70</v>
      </c>
      <c r="H473" s="184" t="s">
        <v>216</v>
      </c>
    </row>
    <row r="474" spans="1:20">
      <c r="A474" s="182">
        <v>44803</v>
      </c>
      <c r="B474" s="183">
        <v>0.60898148148148146</v>
      </c>
      <c r="C474" s="184" t="s">
        <v>67</v>
      </c>
      <c r="D474" s="184" t="s">
        <v>91</v>
      </c>
      <c r="E474" s="184" t="s">
        <v>204</v>
      </c>
      <c r="F474" s="182">
        <v>44858</v>
      </c>
      <c r="G474" s="186" t="s">
        <v>70</v>
      </c>
      <c r="H474" s="184" t="s">
        <v>120</v>
      </c>
    </row>
    <row r="475" spans="1:20">
      <c r="A475" s="182">
        <v>44803</v>
      </c>
      <c r="B475" s="183">
        <v>0.60930555555555554</v>
      </c>
      <c r="C475" s="184" t="s">
        <v>67</v>
      </c>
      <c r="D475" s="184" t="s">
        <v>91</v>
      </c>
      <c r="E475" s="184" t="s">
        <v>96</v>
      </c>
      <c r="F475" s="182">
        <v>44886</v>
      </c>
      <c r="G475" s="186" t="s">
        <v>114</v>
      </c>
      <c r="H475" s="184" t="s">
        <v>227</v>
      </c>
    </row>
    <row r="476" spans="1:20">
      <c r="A476" s="182">
        <v>44804</v>
      </c>
      <c r="B476" s="183">
        <v>0.69775462962962964</v>
      </c>
      <c r="C476" s="184" t="s">
        <v>73</v>
      </c>
      <c r="D476" s="184" t="s">
        <v>78</v>
      </c>
      <c r="E476" s="184" t="s">
        <v>45</v>
      </c>
      <c r="F476" s="182">
        <v>44821</v>
      </c>
      <c r="G476" s="186" t="s">
        <v>94</v>
      </c>
      <c r="H476" s="184" t="s">
        <v>327</v>
      </c>
    </row>
    <row r="477" spans="1:20">
      <c r="A477" s="182">
        <v>44804</v>
      </c>
      <c r="B477" s="183">
        <v>0.69788194444444451</v>
      </c>
      <c r="C477" s="184" t="s">
        <v>73</v>
      </c>
      <c r="D477" s="184" t="s">
        <v>91</v>
      </c>
      <c r="E477" s="184" t="s">
        <v>45</v>
      </c>
      <c r="F477" s="182">
        <v>44821</v>
      </c>
      <c r="G477" s="186" t="s">
        <v>94</v>
      </c>
      <c r="H477" s="184" t="s">
        <v>285</v>
      </c>
    </row>
    <row r="478" spans="1:20">
      <c r="A478" s="182">
        <v>44804</v>
      </c>
      <c r="B478" s="183">
        <v>0.69824074074074083</v>
      </c>
      <c r="C478" s="184" t="s">
        <v>73</v>
      </c>
      <c r="D478" s="184" t="s">
        <v>91</v>
      </c>
      <c r="E478" s="184" t="s">
        <v>19</v>
      </c>
      <c r="F478" s="182">
        <v>44847</v>
      </c>
      <c r="G478" s="186" t="s">
        <v>94</v>
      </c>
      <c r="H478" s="184" t="s">
        <v>120</v>
      </c>
    </row>
    <row r="479" spans="1:20">
      <c r="A479" s="182">
        <v>44805</v>
      </c>
      <c r="B479" s="183">
        <v>0.4271875</v>
      </c>
      <c r="C479" s="184" t="s">
        <v>73</v>
      </c>
      <c r="D479" s="184" t="s">
        <v>68</v>
      </c>
      <c r="E479" s="184" t="s">
        <v>45</v>
      </c>
      <c r="F479" s="182">
        <v>44821</v>
      </c>
      <c r="G479" s="186" t="s">
        <v>94</v>
      </c>
      <c r="H479" s="184" t="s">
        <v>117</v>
      </c>
      <c r="T479" s="184" t="s">
        <v>898</v>
      </c>
    </row>
    <row r="480" spans="1:20">
      <c r="A480" s="182">
        <v>44805</v>
      </c>
      <c r="B480" s="183">
        <v>0.4536574074074074</v>
      </c>
      <c r="C480" s="184" t="s">
        <v>73</v>
      </c>
      <c r="D480" s="184" t="s">
        <v>68</v>
      </c>
      <c r="E480" s="184" t="s">
        <v>124</v>
      </c>
      <c r="F480" s="182">
        <v>44887</v>
      </c>
      <c r="G480" s="186" t="s">
        <v>114</v>
      </c>
      <c r="H480" s="184" t="s">
        <v>256</v>
      </c>
      <c r="T480" s="184" t="s">
        <v>899</v>
      </c>
    </row>
    <row r="481" spans="1:20">
      <c r="A481" s="182">
        <v>44805</v>
      </c>
      <c r="B481" s="183">
        <v>0.69973379629629628</v>
      </c>
      <c r="C481" s="184" t="s">
        <v>73</v>
      </c>
      <c r="D481" s="184" t="s">
        <v>68</v>
      </c>
      <c r="E481" s="184" t="s">
        <v>19</v>
      </c>
      <c r="F481" s="182">
        <v>44910</v>
      </c>
      <c r="G481" s="186" t="s">
        <v>94</v>
      </c>
      <c r="H481" s="184" t="s">
        <v>103</v>
      </c>
      <c r="T481" s="184" t="s">
        <v>898</v>
      </c>
    </row>
    <row r="482" spans="1:20">
      <c r="A482" s="182">
        <v>44806</v>
      </c>
      <c r="B482" s="183">
        <v>0.51013888888888892</v>
      </c>
      <c r="C482" s="184" t="s">
        <v>67</v>
      </c>
      <c r="D482" s="184" t="s">
        <v>78</v>
      </c>
      <c r="E482" s="184" t="s">
        <v>45</v>
      </c>
      <c r="F482" s="182">
        <v>44821</v>
      </c>
      <c r="G482" s="186" t="s">
        <v>114</v>
      </c>
      <c r="H482" s="184" t="s">
        <v>80</v>
      </c>
    </row>
    <row r="483" spans="1:20">
      <c r="A483" s="182">
        <v>44809</v>
      </c>
      <c r="B483" s="183">
        <v>0.45343749999999999</v>
      </c>
      <c r="C483" s="184" t="s">
        <v>67</v>
      </c>
      <c r="D483" s="184" t="s">
        <v>91</v>
      </c>
      <c r="E483" s="184" t="s">
        <v>19</v>
      </c>
      <c r="F483" s="182">
        <v>44847</v>
      </c>
      <c r="G483" s="186" t="s">
        <v>114</v>
      </c>
      <c r="H483" s="184" t="s">
        <v>189</v>
      </c>
    </row>
    <row r="484" spans="1:20">
      <c r="A484" s="182">
        <v>44809</v>
      </c>
      <c r="B484" s="183">
        <v>0.45385416666666667</v>
      </c>
      <c r="C484" s="184" t="s">
        <v>67</v>
      </c>
      <c r="D484" s="184" t="s">
        <v>91</v>
      </c>
      <c r="E484" s="184" t="s">
        <v>204</v>
      </c>
      <c r="F484" s="182">
        <v>44858</v>
      </c>
      <c r="G484" s="186" t="s">
        <v>99</v>
      </c>
      <c r="H484" s="184" t="s">
        <v>285</v>
      </c>
    </row>
    <row r="485" spans="1:20">
      <c r="A485" s="182">
        <v>44809</v>
      </c>
      <c r="B485" s="183">
        <v>0.45394675925925926</v>
      </c>
      <c r="C485" s="184" t="s">
        <v>67</v>
      </c>
      <c r="D485" s="184" t="s">
        <v>91</v>
      </c>
      <c r="E485" s="184" t="s">
        <v>204</v>
      </c>
      <c r="F485" s="182">
        <v>44858</v>
      </c>
      <c r="G485" s="186" t="s">
        <v>99</v>
      </c>
      <c r="H485" s="184" t="s">
        <v>227</v>
      </c>
    </row>
    <row r="486" spans="1:20">
      <c r="A486" s="182">
        <v>44809</v>
      </c>
      <c r="B486" s="183">
        <v>0.49451388888888892</v>
      </c>
      <c r="C486" s="184" t="s">
        <v>67</v>
      </c>
      <c r="D486" s="184" t="s">
        <v>78</v>
      </c>
      <c r="E486" s="184" t="s">
        <v>45</v>
      </c>
      <c r="F486" s="182">
        <v>44883</v>
      </c>
      <c r="G486" s="186" t="s">
        <v>94</v>
      </c>
      <c r="H486" s="184" t="s">
        <v>107</v>
      </c>
    </row>
    <row r="487" spans="1:20">
      <c r="A487" s="182">
        <v>44809</v>
      </c>
      <c r="B487" s="183">
        <v>0.56995370370370368</v>
      </c>
      <c r="C487" s="184" t="s">
        <v>67</v>
      </c>
      <c r="D487" s="184" t="s">
        <v>68</v>
      </c>
      <c r="E487" s="184" t="s">
        <v>124</v>
      </c>
      <c r="F487" s="182">
        <v>44887</v>
      </c>
      <c r="G487" s="186" t="s">
        <v>94</v>
      </c>
      <c r="H487" s="184" t="s">
        <v>305</v>
      </c>
      <c r="T487" s="184" t="s">
        <v>854</v>
      </c>
    </row>
    <row r="488" spans="1:20">
      <c r="A488" s="182">
        <v>44809</v>
      </c>
      <c r="B488" s="183">
        <v>0.59456018518518516</v>
      </c>
      <c r="C488" s="184" t="s">
        <v>67</v>
      </c>
      <c r="D488" s="184" t="s">
        <v>78</v>
      </c>
      <c r="E488" s="184" t="s">
        <v>96</v>
      </c>
      <c r="F488" s="182">
        <v>44886</v>
      </c>
      <c r="G488" s="186" t="s">
        <v>112</v>
      </c>
      <c r="H488" s="184" t="s">
        <v>265</v>
      </c>
    </row>
    <row r="489" spans="1:20">
      <c r="A489" s="182">
        <v>44811</v>
      </c>
      <c r="B489" s="183">
        <v>0.4548611111111111</v>
      </c>
      <c r="C489" s="184" t="s">
        <v>67</v>
      </c>
      <c r="D489" s="184" t="s">
        <v>78</v>
      </c>
      <c r="E489" s="184" t="s">
        <v>69</v>
      </c>
      <c r="F489" s="182">
        <v>44845</v>
      </c>
      <c r="G489" s="186" t="s">
        <v>112</v>
      </c>
      <c r="H489" s="184" t="s">
        <v>113</v>
      </c>
    </row>
    <row r="490" spans="1:20">
      <c r="A490" s="182">
        <v>44811</v>
      </c>
      <c r="B490" s="183">
        <v>0.47981481481481486</v>
      </c>
      <c r="C490" s="184" t="s">
        <v>67</v>
      </c>
      <c r="D490" s="184" t="s">
        <v>68</v>
      </c>
      <c r="E490" s="184" t="s">
        <v>96</v>
      </c>
      <c r="F490" s="182">
        <v>44826</v>
      </c>
      <c r="G490" s="186" t="s">
        <v>94</v>
      </c>
      <c r="H490" s="184" t="s">
        <v>87</v>
      </c>
      <c r="T490" s="184" t="s">
        <v>900</v>
      </c>
    </row>
    <row r="491" spans="1:20">
      <c r="A491" s="182">
        <v>44812</v>
      </c>
      <c r="B491" s="183">
        <v>0.41690972222222222</v>
      </c>
      <c r="C491" s="184" t="s">
        <v>73</v>
      </c>
      <c r="D491" s="184" t="s">
        <v>68</v>
      </c>
      <c r="E491" s="184" t="s">
        <v>69</v>
      </c>
      <c r="F491" s="182">
        <v>44845</v>
      </c>
      <c r="G491" s="186" t="s">
        <v>94</v>
      </c>
      <c r="H491" s="184" t="s">
        <v>101</v>
      </c>
      <c r="T491" s="184" t="s">
        <v>902</v>
      </c>
    </row>
    <row r="492" spans="1:20">
      <c r="A492" s="182">
        <v>44813</v>
      </c>
      <c r="B492" s="183">
        <v>0.49881944444444443</v>
      </c>
      <c r="C492" s="184" t="s">
        <v>73</v>
      </c>
      <c r="D492" s="184" t="s">
        <v>68</v>
      </c>
      <c r="E492" s="184" t="s">
        <v>19</v>
      </c>
      <c r="F492" s="182">
        <v>44847</v>
      </c>
      <c r="G492" s="186" t="s">
        <v>94</v>
      </c>
      <c r="H492" s="184" t="s">
        <v>101</v>
      </c>
      <c r="T492" s="184" t="s">
        <v>903</v>
      </c>
    </row>
    <row r="493" spans="1:20">
      <c r="A493" s="182">
        <v>44813</v>
      </c>
      <c r="B493" s="183">
        <v>0.52284722222222224</v>
      </c>
      <c r="C493" s="184" t="s">
        <v>73</v>
      </c>
      <c r="D493" s="184" t="s">
        <v>68</v>
      </c>
      <c r="E493" s="184" t="s">
        <v>19</v>
      </c>
      <c r="F493" s="182">
        <v>44847</v>
      </c>
      <c r="G493" s="186" t="s">
        <v>94</v>
      </c>
      <c r="H493" s="184" t="s">
        <v>103</v>
      </c>
      <c r="T493" s="184" t="s">
        <v>904</v>
      </c>
    </row>
    <row r="494" spans="1:20">
      <c r="A494" s="182">
        <v>44813</v>
      </c>
      <c r="B494" s="183">
        <v>0.52377314814814813</v>
      </c>
      <c r="C494" s="184" t="s">
        <v>73</v>
      </c>
      <c r="D494" s="184" t="s">
        <v>68</v>
      </c>
      <c r="E494" s="184" t="s">
        <v>45</v>
      </c>
      <c r="F494" s="182">
        <v>44883</v>
      </c>
      <c r="G494" s="186" t="s">
        <v>94</v>
      </c>
      <c r="H494" s="184" t="s">
        <v>103</v>
      </c>
      <c r="T494" s="184" t="s">
        <v>905</v>
      </c>
    </row>
    <row r="495" spans="1:20">
      <c r="A495" s="182">
        <v>44813</v>
      </c>
      <c r="B495" s="183">
        <v>0.55546296296296294</v>
      </c>
      <c r="C495" s="184" t="s">
        <v>73</v>
      </c>
      <c r="D495" s="184" t="s">
        <v>68</v>
      </c>
      <c r="E495" s="184" t="s">
        <v>19</v>
      </c>
      <c r="F495" s="182">
        <v>44847</v>
      </c>
      <c r="G495" s="186" t="s">
        <v>94</v>
      </c>
      <c r="H495" s="184" t="s">
        <v>182</v>
      </c>
      <c r="T495" s="184" t="s">
        <v>252</v>
      </c>
    </row>
    <row r="496" spans="1:20">
      <c r="A496" s="182">
        <v>44813</v>
      </c>
      <c r="B496" s="183">
        <v>0.63746527777777773</v>
      </c>
      <c r="C496" s="184" t="s">
        <v>73</v>
      </c>
      <c r="D496" s="184" t="s">
        <v>68</v>
      </c>
      <c r="E496" s="184" t="s">
        <v>96</v>
      </c>
      <c r="F496" s="182">
        <v>44826</v>
      </c>
      <c r="G496" s="186" t="s">
        <v>94</v>
      </c>
      <c r="H496" s="184" t="s">
        <v>101</v>
      </c>
      <c r="T496" s="184" t="s">
        <v>906</v>
      </c>
    </row>
    <row r="497" spans="1:20">
      <c r="A497" s="182">
        <v>44817</v>
      </c>
      <c r="B497" s="183">
        <v>0.45136574074074076</v>
      </c>
      <c r="C497" s="184" t="s">
        <v>67</v>
      </c>
      <c r="D497" s="184" t="s">
        <v>78</v>
      </c>
      <c r="E497" s="184" t="s">
        <v>96</v>
      </c>
      <c r="F497" s="182">
        <v>44826</v>
      </c>
      <c r="G497" s="186" t="s">
        <v>115</v>
      </c>
      <c r="H497" s="184" t="s">
        <v>267</v>
      </c>
    </row>
    <row r="498" spans="1:20">
      <c r="A498" s="182">
        <v>44817</v>
      </c>
      <c r="B498" s="183">
        <v>0.45162037037037034</v>
      </c>
      <c r="C498" s="184" t="s">
        <v>67</v>
      </c>
      <c r="D498" s="184" t="s">
        <v>78</v>
      </c>
      <c r="E498" s="184" t="s">
        <v>45</v>
      </c>
      <c r="F498" s="182">
        <v>44821</v>
      </c>
      <c r="G498" s="186" t="s">
        <v>99</v>
      </c>
      <c r="H498" s="184" t="s">
        <v>82</v>
      </c>
    </row>
    <row r="499" spans="1:20">
      <c r="A499" s="182">
        <v>44817</v>
      </c>
      <c r="B499" s="183">
        <v>0.59226851851851847</v>
      </c>
      <c r="C499" s="184" t="s">
        <v>67</v>
      </c>
      <c r="D499" s="184" t="s">
        <v>78</v>
      </c>
      <c r="E499" s="184" t="s">
        <v>124</v>
      </c>
      <c r="F499" s="182">
        <v>44887</v>
      </c>
      <c r="G499" s="186" t="s">
        <v>94</v>
      </c>
      <c r="H499" s="184" t="s">
        <v>265</v>
      </c>
    </row>
    <row r="500" spans="1:20">
      <c r="A500" s="182">
        <v>44817</v>
      </c>
      <c r="B500" s="183">
        <v>0.59245370370370376</v>
      </c>
      <c r="C500" s="184" t="s">
        <v>67</v>
      </c>
      <c r="D500" s="184" t="s">
        <v>78</v>
      </c>
      <c r="E500" s="184" t="s">
        <v>45</v>
      </c>
      <c r="F500" s="182">
        <v>44821</v>
      </c>
      <c r="G500" s="186" t="s">
        <v>94</v>
      </c>
      <c r="H500" s="184" t="s">
        <v>80</v>
      </c>
    </row>
    <row r="501" spans="1:20">
      <c r="A501" s="182">
        <v>44817</v>
      </c>
      <c r="B501" s="183">
        <v>0.59457175925925931</v>
      </c>
      <c r="C501" s="184" t="s">
        <v>67</v>
      </c>
      <c r="D501" s="184" t="s">
        <v>91</v>
      </c>
      <c r="E501" s="184" t="s">
        <v>96</v>
      </c>
      <c r="F501" s="182">
        <v>44886</v>
      </c>
      <c r="G501" s="186" t="s">
        <v>94</v>
      </c>
      <c r="H501" s="184" t="s">
        <v>285</v>
      </c>
    </row>
    <row r="502" spans="1:20">
      <c r="A502" s="182">
        <v>44817</v>
      </c>
      <c r="B502" s="183">
        <v>0.61667824074074074</v>
      </c>
      <c r="C502" s="184" t="s">
        <v>67</v>
      </c>
      <c r="D502" s="184" t="s">
        <v>68</v>
      </c>
      <c r="E502" s="184" t="s">
        <v>85</v>
      </c>
      <c r="F502" s="182">
        <v>44896</v>
      </c>
      <c r="G502" s="186" t="s">
        <v>94</v>
      </c>
      <c r="H502" s="184" t="s">
        <v>87</v>
      </c>
      <c r="T502" s="184" t="s">
        <v>824</v>
      </c>
    </row>
    <row r="503" spans="1:20">
      <c r="A503" s="182">
        <v>44817</v>
      </c>
      <c r="B503" s="183">
        <v>0.61706018518518524</v>
      </c>
      <c r="C503" s="184" t="s">
        <v>67</v>
      </c>
      <c r="D503" s="184" t="s">
        <v>68</v>
      </c>
      <c r="E503" s="184" t="s">
        <v>89</v>
      </c>
      <c r="F503" s="182">
        <v>44867</v>
      </c>
      <c r="G503" s="186" t="s">
        <v>94</v>
      </c>
      <c r="H503" s="184" t="s">
        <v>101</v>
      </c>
      <c r="T503" s="184" t="s">
        <v>824</v>
      </c>
    </row>
    <row r="504" spans="1:20">
      <c r="A504" s="182">
        <v>44817</v>
      </c>
      <c r="B504" s="183">
        <v>0.64945601851851853</v>
      </c>
      <c r="C504" s="184" t="s">
        <v>67</v>
      </c>
      <c r="D504" s="184" t="s">
        <v>68</v>
      </c>
      <c r="E504" s="184" t="s">
        <v>85</v>
      </c>
      <c r="F504" s="182">
        <v>44896</v>
      </c>
      <c r="G504" s="186" t="s">
        <v>99</v>
      </c>
      <c r="H504" s="184" t="s">
        <v>76</v>
      </c>
      <c r="T504" s="184" t="s">
        <v>824</v>
      </c>
    </row>
    <row r="505" spans="1:20">
      <c r="A505" s="182">
        <v>44817</v>
      </c>
      <c r="B505" s="183">
        <v>0.64975694444444443</v>
      </c>
      <c r="C505" s="184" t="s">
        <v>67</v>
      </c>
      <c r="D505" s="184" t="s">
        <v>68</v>
      </c>
      <c r="E505" s="184" t="s">
        <v>89</v>
      </c>
      <c r="F505" s="182">
        <v>44867</v>
      </c>
      <c r="G505" s="186" t="s">
        <v>99</v>
      </c>
      <c r="H505" s="184" t="s">
        <v>87</v>
      </c>
      <c r="T505" s="184" t="s">
        <v>824</v>
      </c>
    </row>
    <row r="506" spans="1:20">
      <c r="A506" s="182">
        <v>44818</v>
      </c>
      <c r="B506" s="183">
        <v>0.4132291666666667</v>
      </c>
      <c r="C506" s="184" t="s">
        <v>67</v>
      </c>
      <c r="D506" s="184" t="s">
        <v>68</v>
      </c>
      <c r="E506" s="184" t="s">
        <v>124</v>
      </c>
      <c r="F506" s="182">
        <v>44887</v>
      </c>
      <c r="G506" s="186" t="s">
        <v>94</v>
      </c>
      <c r="H506" s="184" t="s">
        <v>322</v>
      </c>
      <c r="T506" s="184" t="s">
        <v>907</v>
      </c>
    </row>
    <row r="507" spans="1:20">
      <c r="A507" s="182">
        <v>44818</v>
      </c>
      <c r="B507" s="183">
        <v>0.42663194444444441</v>
      </c>
      <c r="C507" s="184" t="s">
        <v>67</v>
      </c>
      <c r="D507" s="184" t="s">
        <v>68</v>
      </c>
      <c r="E507" s="184" t="s">
        <v>124</v>
      </c>
      <c r="F507" s="182">
        <v>44887</v>
      </c>
      <c r="G507" s="186" t="s">
        <v>94</v>
      </c>
      <c r="H507" s="184" t="s">
        <v>185</v>
      </c>
      <c r="T507" s="184" t="s">
        <v>908</v>
      </c>
    </row>
    <row r="508" spans="1:20">
      <c r="A508" s="182">
        <v>44818</v>
      </c>
      <c r="B508" s="183">
        <v>0.57718749999999996</v>
      </c>
      <c r="C508" s="184" t="s">
        <v>73</v>
      </c>
      <c r="D508" s="184" t="s">
        <v>68</v>
      </c>
      <c r="E508" s="184" t="s">
        <v>124</v>
      </c>
      <c r="F508" s="182">
        <v>44887</v>
      </c>
      <c r="G508" s="186" t="s">
        <v>94</v>
      </c>
      <c r="H508" s="184" t="s">
        <v>308</v>
      </c>
      <c r="T508" s="184" t="s">
        <v>909</v>
      </c>
    </row>
    <row r="509" spans="1:20">
      <c r="A509" s="182">
        <v>44818</v>
      </c>
      <c r="B509" s="183">
        <v>0.68275462962962974</v>
      </c>
      <c r="C509" s="184" t="s">
        <v>73</v>
      </c>
      <c r="D509" s="184" t="s">
        <v>68</v>
      </c>
      <c r="E509" s="184" t="s">
        <v>45</v>
      </c>
      <c r="F509" s="182">
        <v>44883</v>
      </c>
      <c r="G509" s="186" t="s">
        <v>94</v>
      </c>
      <c r="H509" s="184" t="s">
        <v>182</v>
      </c>
      <c r="T509" s="184" t="s">
        <v>512</v>
      </c>
    </row>
    <row r="510" spans="1:20">
      <c r="A510" s="182">
        <v>44819</v>
      </c>
      <c r="B510" s="183">
        <v>0.43336805555555552</v>
      </c>
      <c r="C510" s="184" t="s">
        <v>67</v>
      </c>
      <c r="D510" s="184" t="s">
        <v>91</v>
      </c>
      <c r="E510" s="184" t="s">
        <v>69</v>
      </c>
      <c r="F510" s="182">
        <v>44845</v>
      </c>
      <c r="G510" s="186" t="s">
        <v>75</v>
      </c>
      <c r="H510" s="184" t="s">
        <v>92</v>
      </c>
    </row>
    <row r="511" spans="1:20">
      <c r="A511" s="182">
        <v>44819</v>
      </c>
      <c r="B511" s="183">
        <v>0.52525462962962965</v>
      </c>
      <c r="C511" s="184" t="s">
        <v>67</v>
      </c>
      <c r="D511" s="184" t="s">
        <v>91</v>
      </c>
      <c r="E511" s="184" t="s">
        <v>124</v>
      </c>
      <c r="F511" s="182">
        <v>44887</v>
      </c>
      <c r="G511" s="186" t="s">
        <v>94</v>
      </c>
      <c r="H511" s="184" t="s">
        <v>92</v>
      </c>
    </row>
    <row r="512" spans="1:20">
      <c r="A512" s="182">
        <v>44819</v>
      </c>
      <c r="B512" s="183">
        <v>0.70906249999999993</v>
      </c>
      <c r="C512" s="184" t="s">
        <v>67</v>
      </c>
      <c r="D512" s="184" t="s">
        <v>78</v>
      </c>
      <c r="E512" s="184" t="s">
        <v>19</v>
      </c>
      <c r="F512" s="182">
        <v>44847</v>
      </c>
      <c r="G512" s="186" t="s">
        <v>114</v>
      </c>
      <c r="H512" s="184" t="s">
        <v>297</v>
      </c>
    </row>
    <row r="513" spans="1:20">
      <c r="A513" s="182">
        <v>44820</v>
      </c>
      <c r="B513" s="183">
        <v>0.41282407407407407</v>
      </c>
      <c r="C513" s="184" t="s">
        <v>73</v>
      </c>
      <c r="D513" s="184" t="s">
        <v>68</v>
      </c>
      <c r="E513" s="184" t="s">
        <v>96</v>
      </c>
      <c r="F513" s="182">
        <v>44886</v>
      </c>
      <c r="G513" s="186" t="s">
        <v>94</v>
      </c>
      <c r="H513" s="184" t="s">
        <v>101</v>
      </c>
      <c r="T513" s="184" t="s">
        <v>370</v>
      </c>
    </row>
    <row r="514" spans="1:20">
      <c r="A514" s="182">
        <v>44820</v>
      </c>
      <c r="B514" s="183">
        <v>0.4637384259259259</v>
      </c>
      <c r="C514" s="184" t="s">
        <v>67</v>
      </c>
      <c r="D514" s="184" t="s">
        <v>78</v>
      </c>
      <c r="E514" s="184" t="s">
        <v>96</v>
      </c>
      <c r="F514" s="182">
        <v>44886</v>
      </c>
      <c r="G514" s="186" t="s">
        <v>94</v>
      </c>
      <c r="H514" s="184" t="s">
        <v>288</v>
      </c>
    </row>
    <row r="515" spans="1:20">
      <c r="A515" s="182">
        <v>44820</v>
      </c>
      <c r="B515" s="183">
        <v>0.54194444444444445</v>
      </c>
      <c r="C515" s="184" t="s">
        <v>73</v>
      </c>
      <c r="D515" s="184" t="s">
        <v>68</v>
      </c>
      <c r="E515" s="184" t="s">
        <v>45</v>
      </c>
      <c r="F515" s="182">
        <v>44821</v>
      </c>
      <c r="G515" s="186" t="s">
        <v>99</v>
      </c>
      <c r="H515" s="184" t="s">
        <v>182</v>
      </c>
      <c r="T515" s="184" t="s">
        <v>910</v>
      </c>
    </row>
    <row r="516" spans="1:20">
      <c r="A516" s="182">
        <v>44820</v>
      </c>
      <c r="B516" s="183">
        <v>0.54253472222222221</v>
      </c>
      <c r="C516" s="184" t="s">
        <v>73</v>
      </c>
      <c r="D516" s="184" t="s">
        <v>68</v>
      </c>
      <c r="E516" s="184" t="s">
        <v>45</v>
      </c>
      <c r="F516" s="182">
        <v>44883</v>
      </c>
      <c r="G516" s="186" t="s">
        <v>94</v>
      </c>
      <c r="H516" s="184" t="s">
        <v>117</v>
      </c>
      <c r="T516" s="184" t="s">
        <v>911</v>
      </c>
    </row>
    <row r="517" spans="1:20">
      <c r="A517" s="182">
        <v>44824</v>
      </c>
      <c r="B517" s="183">
        <v>0.45778935185185188</v>
      </c>
      <c r="C517" s="184" t="s">
        <v>73</v>
      </c>
      <c r="D517" s="184" t="s">
        <v>68</v>
      </c>
      <c r="E517" s="184" t="s">
        <v>124</v>
      </c>
      <c r="F517" s="182">
        <v>44887</v>
      </c>
      <c r="G517" s="186" t="s">
        <v>94</v>
      </c>
      <c r="H517" s="184" t="s">
        <v>190</v>
      </c>
      <c r="T517" s="184" t="s">
        <v>540</v>
      </c>
    </row>
    <row r="518" spans="1:20">
      <c r="A518" s="182">
        <v>44824</v>
      </c>
      <c r="B518" s="183">
        <v>0.45927083333333335</v>
      </c>
      <c r="C518" s="184" t="s">
        <v>73</v>
      </c>
      <c r="D518" s="184" t="s">
        <v>68</v>
      </c>
      <c r="E518" s="184" t="s">
        <v>96</v>
      </c>
      <c r="F518" s="182">
        <v>44886</v>
      </c>
      <c r="G518" s="186" t="s">
        <v>94</v>
      </c>
      <c r="H518" s="184" t="s">
        <v>103</v>
      </c>
      <c r="T518" s="184" t="s">
        <v>540</v>
      </c>
    </row>
    <row r="519" spans="1:20">
      <c r="A519" s="182">
        <v>44824</v>
      </c>
      <c r="B519" s="183">
        <v>0.5425578703703704</v>
      </c>
      <c r="C519" s="184" t="s">
        <v>73</v>
      </c>
      <c r="D519" s="184" t="s">
        <v>159</v>
      </c>
      <c r="E519" s="184" t="s">
        <v>204</v>
      </c>
      <c r="F519" s="182">
        <v>44858</v>
      </c>
      <c r="G519" s="186" t="s">
        <v>70</v>
      </c>
      <c r="H519" s="184" t="s">
        <v>216</v>
      </c>
    </row>
    <row r="520" spans="1:20">
      <c r="A520" s="182">
        <v>44824</v>
      </c>
      <c r="B520" s="183">
        <v>0.62997685185185182</v>
      </c>
      <c r="C520" s="184" t="s">
        <v>73</v>
      </c>
      <c r="D520" s="184" t="s">
        <v>68</v>
      </c>
      <c r="E520" s="184" t="s">
        <v>96</v>
      </c>
      <c r="F520" s="182">
        <v>44886</v>
      </c>
      <c r="G520" s="186" t="s">
        <v>94</v>
      </c>
      <c r="H520" s="184" t="s">
        <v>182</v>
      </c>
      <c r="T520" s="184" t="s">
        <v>673</v>
      </c>
    </row>
    <row r="521" spans="1:20">
      <c r="A521" s="182">
        <v>44825</v>
      </c>
      <c r="B521" s="183">
        <v>0.41542824074074075</v>
      </c>
      <c r="C521" s="184" t="s">
        <v>73</v>
      </c>
      <c r="D521" s="184" t="s">
        <v>68</v>
      </c>
      <c r="E521" s="184" t="s">
        <v>19</v>
      </c>
      <c r="F521" s="182">
        <v>44910</v>
      </c>
      <c r="G521" s="186" t="s">
        <v>114</v>
      </c>
      <c r="H521" s="184" t="s">
        <v>117</v>
      </c>
      <c r="T521" s="184" t="s">
        <v>379</v>
      </c>
    </row>
    <row r="522" spans="1:20">
      <c r="A522" s="182">
        <v>44825</v>
      </c>
      <c r="B522" s="183">
        <v>0.41606481481481478</v>
      </c>
      <c r="C522" s="184" t="s">
        <v>73</v>
      </c>
      <c r="D522" s="184" t="s">
        <v>68</v>
      </c>
      <c r="E522" s="184" t="s">
        <v>96</v>
      </c>
      <c r="F522" s="182">
        <v>44886</v>
      </c>
      <c r="G522" s="186" t="s">
        <v>94</v>
      </c>
      <c r="H522" s="184" t="s">
        <v>117</v>
      </c>
      <c r="T522" s="184" t="s">
        <v>379</v>
      </c>
    </row>
    <row r="523" spans="1:20">
      <c r="A523" s="182">
        <v>44825</v>
      </c>
      <c r="B523" s="183">
        <v>0.648900462962963</v>
      </c>
      <c r="C523" s="184" t="s">
        <v>73</v>
      </c>
      <c r="D523" s="184" t="s">
        <v>68</v>
      </c>
      <c r="E523" s="184" t="s">
        <v>45</v>
      </c>
      <c r="F523" s="182">
        <v>44883</v>
      </c>
      <c r="G523" s="186" t="s">
        <v>94</v>
      </c>
      <c r="H523" s="184" t="s">
        <v>259</v>
      </c>
      <c r="T523" s="184" t="s">
        <v>329</v>
      </c>
    </row>
    <row r="524" spans="1:20">
      <c r="A524" s="182">
        <v>44826</v>
      </c>
      <c r="B524" s="183">
        <v>0.50851851851851848</v>
      </c>
      <c r="C524" s="184" t="s">
        <v>73</v>
      </c>
      <c r="D524" s="184" t="s">
        <v>91</v>
      </c>
      <c r="E524" s="184" t="s">
        <v>69</v>
      </c>
      <c r="F524" s="182">
        <v>44845</v>
      </c>
      <c r="G524" s="186" t="s">
        <v>114</v>
      </c>
      <c r="H524" s="184" t="s">
        <v>285</v>
      </c>
    </row>
    <row r="525" spans="1:20">
      <c r="A525" s="182">
        <v>44826</v>
      </c>
      <c r="B525" s="183">
        <v>0.59078703703703705</v>
      </c>
      <c r="C525" s="184" t="s">
        <v>67</v>
      </c>
      <c r="D525" s="184" t="s">
        <v>68</v>
      </c>
      <c r="E525" s="184" t="s">
        <v>45</v>
      </c>
      <c r="F525" s="182">
        <v>44821</v>
      </c>
      <c r="G525" s="186" t="s">
        <v>94</v>
      </c>
      <c r="H525" s="184" t="s">
        <v>117</v>
      </c>
      <c r="T525" s="184" t="s">
        <v>912</v>
      </c>
    </row>
    <row r="526" spans="1:20">
      <c r="A526" s="182">
        <v>44830</v>
      </c>
      <c r="B526" s="183">
        <v>0.41318287037037038</v>
      </c>
      <c r="C526" s="184" t="s">
        <v>67</v>
      </c>
      <c r="D526" s="184" t="s">
        <v>68</v>
      </c>
      <c r="E526" s="184" t="s">
        <v>96</v>
      </c>
      <c r="F526" s="182">
        <v>44826</v>
      </c>
      <c r="G526" s="186" t="s">
        <v>99</v>
      </c>
      <c r="H526" s="184" t="s">
        <v>87</v>
      </c>
      <c r="T526" s="184" t="s">
        <v>913</v>
      </c>
    </row>
    <row r="527" spans="1:20">
      <c r="A527" s="182">
        <v>44830</v>
      </c>
      <c r="B527" s="183">
        <v>0.46811342592592592</v>
      </c>
      <c r="C527" s="184" t="s">
        <v>67</v>
      </c>
      <c r="D527" s="184" t="s">
        <v>91</v>
      </c>
      <c r="E527" s="184" t="s">
        <v>19</v>
      </c>
      <c r="F527" s="182">
        <v>44847</v>
      </c>
      <c r="G527" s="186" t="s">
        <v>112</v>
      </c>
      <c r="H527" s="184" t="s">
        <v>337</v>
      </c>
    </row>
    <row r="528" spans="1:20">
      <c r="A528" s="182">
        <v>44830</v>
      </c>
      <c r="B528" s="183">
        <v>0.5934490740740741</v>
      </c>
      <c r="C528" s="184" t="s">
        <v>67</v>
      </c>
      <c r="D528" s="184" t="s">
        <v>78</v>
      </c>
      <c r="E528" s="184" t="s">
        <v>96</v>
      </c>
      <c r="F528" s="182">
        <v>44886</v>
      </c>
      <c r="G528" s="186" t="s">
        <v>804</v>
      </c>
      <c r="H528" s="184" t="s">
        <v>327</v>
      </c>
    </row>
    <row r="529" spans="1:20">
      <c r="A529" s="182">
        <v>44830</v>
      </c>
      <c r="B529" s="183">
        <v>0.71218750000000008</v>
      </c>
      <c r="C529" s="184" t="s">
        <v>67</v>
      </c>
      <c r="D529" s="184" t="s">
        <v>68</v>
      </c>
      <c r="E529" s="184" t="s">
        <v>204</v>
      </c>
      <c r="F529" s="182">
        <v>44858</v>
      </c>
      <c r="G529" s="186" t="s">
        <v>94</v>
      </c>
      <c r="H529" s="184" t="s">
        <v>103</v>
      </c>
      <c r="T529" s="184" t="s">
        <v>914</v>
      </c>
    </row>
    <row r="530" spans="1:20">
      <c r="A530" s="182">
        <v>44830</v>
      </c>
      <c r="B530" s="183">
        <v>0.71710648148148148</v>
      </c>
      <c r="C530" s="184" t="s">
        <v>67</v>
      </c>
      <c r="D530" s="184" t="s">
        <v>68</v>
      </c>
      <c r="E530" s="184" t="s">
        <v>96</v>
      </c>
      <c r="F530" s="182">
        <v>44886</v>
      </c>
      <c r="G530" s="186" t="s">
        <v>94</v>
      </c>
      <c r="H530" s="184" t="s">
        <v>261</v>
      </c>
      <c r="T530" s="184" t="s">
        <v>915</v>
      </c>
    </row>
    <row r="531" spans="1:20">
      <c r="A531" s="182">
        <v>44832</v>
      </c>
      <c r="B531" s="183">
        <v>0.44460648148148146</v>
      </c>
      <c r="C531" s="184" t="s">
        <v>73</v>
      </c>
      <c r="D531" s="184" t="s">
        <v>159</v>
      </c>
      <c r="E531" s="184" t="s">
        <v>19</v>
      </c>
      <c r="F531" s="182">
        <v>44847</v>
      </c>
      <c r="G531" s="186" t="s">
        <v>70</v>
      </c>
      <c r="H531" s="184" t="s">
        <v>216</v>
      </c>
    </row>
    <row r="532" spans="1:20">
      <c r="A532" s="182">
        <v>44832</v>
      </c>
      <c r="B532" s="183">
        <v>0.45672453703703703</v>
      </c>
      <c r="C532" s="184" t="s">
        <v>73</v>
      </c>
      <c r="D532" s="184" t="s">
        <v>68</v>
      </c>
      <c r="E532" s="184" t="s">
        <v>96</v>
      </c>
      <c r="F532" s="182">
        <v>44886</v>
      </c>
      <c r="G532" s="186" t="s">
        <v>94</v>
      </c>
      <c r="H532" s="184" t="s">
        <v>260</v>
      </c>
      <c r="T532" s="184" t="s">
        <v>456</v>
      </c>
    </row>
    <row r="533" spans="1:20">
      <c r="A533" s="182">
        <v>44832</v>
      </c>
      <c r="B533" s="183">
        <v>0.45771990740740742</v>
      </c>
      <c r="C533" s="184" t="s">
        <v>73</v>
      </c>
      <c r="D533" s="184" t="s">
        <v>68</v>
      </c>
      <c r="E533" s="184" t="s">
        <v>96</v>
      </c>
      <c r="F533" s="182">
        <v>44826</v>
      </c>
      <c r="G533" s="186" t="s">
        <v>94</v>
      </c>
      <c r="H533" s="184" t="s">
        <v>101</v>
      </c>
      <c r="T533" s="184" t="s">
        <v>916</v>
      </c>
    </row>
    <row r="534" spans="1:20">
      <c r="A534" s="182">
        <v>44832</v>
      </c>
      <c r="B534" s="183">
        <v>0.46150462962962963</v>
      </c>
      <c r="C534" s="184" t="s">
        <v>73</v>
      </c>
      <c r="D534" s="184" t="s">
        <v>68</v>
      </c>
      <c r="E534" s="184" t="s">
        <v>85</v>
      </c>
      <c r="F534" s="182">
        <v>44896</v>
      </c>
      <c r="G534" s="186" t="s">
        <v>94</v>
      </c>
      <c r="H534" s="184" t="s">
        <v>87</v>
      </c>
      <c r="T534" s="184" t="s">
        <v>917</v>
      </c>
    </row>
    <row r="535" spans="1:20">
      <c r="A535" s="182">
        <v>44832</v>
      </c>
      <c r="B535" s="183">
        <v>0.46847222222222223</v>
      </c>
      <c r="C535" s="184" t="s">
        <v>67</v>
      </c>
      <c r="D535" s="184" t="s">
        <v>78</v>
      </c>
      <c r="E535" s="184" t="s">
        <v>69</v>
      </c>
      <c r="F535" s="182">
        <v>44845</v>
      </c>
      <c r="G535" s="186" t="s">
        <v>178</v>
      </c>
      <c r="H535" s="184" t="s">
        <v>82</v>
      </c>
    </row>
    <row r="536" spans="1:20">
      <c r="A536" s="182">
        <v>44832</v>
      </c>
      <c r="B536" s="183">
        <v>0.48359953703703701</v>
      </c>
      <c r="C536" s="184" t="s">
        <v>67</v>
      </c>
      <c r="D536" s="184" t="s">
        <v>91</v>
      </c>
      <c r="E536" s="184" t="s">
        <v>45</v>
      </c>
      <c r="F536" s="182">
        <v>44883</v>
      </c>
      <c r="G536" s="186" t="s">
        <v>75</v>
      </c>
      <c r="H536" s="184" t="s">
        <v>92</v>
      </c>
    </row>
    <row r="537" spans="1:20">
      <c r="A537" s="182">
        <v>44832</v>
      </c>
      <c r="B537" s="183">
        <v>0.64306712962962964</v>
      </c>
      <c r="C537" s="184" t="s">
        <v>73</v>
      </c>
      <c r="D537" s="184" t="s">
        <v>78</v>
      </c>
      <c r="E537" s="184" t="s">
        <v>19</v>
      </c>
      <c r="F537" s="182">
        <v>44847</v>
      </c>
      <c r="G537" s="186" t="s">
        <v>99</v>
      </c>
      <c r="H537" s="184" t="s">
        <v>84</v>
      </c>
    </row>
    <row r="538" spans="1:20">
      <c r="A538" s="182">
        <v>44832</v>
      </c>
      <c r="B538" s="183">
        <v>0.69964120370370375</v>
      </c>
      <c r="C538" s="184" t="s">
        <v>73</v>
      </c>
      <c r="D538" s="184" t="s">
        <v>159</v>
      </c>
      <c r="E538" s="184" t="s">
        <v>204</v>
      </c>
      <c r="F538" s="182">
        <v>44858</v>
      </c>
      <c r="G538" s="186" t="s">
        <v>94</v>
      </c>
      <c r="H538" s="184" t="s">
        <v>215</v>
      </c>
    </row>
    <row r="539" spans="1:20">
      <c r="A539" s="182">
        <v>44833</v>
      </c>
      <c r="B539" s="183">
        <v>0.58030092592592586</v>
      </c>
      <c r="C539" s="184" t="s">
        <v>67</v>
      </c>
      <c r="D539" s="184" t="s">
        <v>68</v>
      </c>
      <c r="E539" s="184" t="s">
        <v>96</v>
      </c>
      <c r="F539" s="182">
        <v>44886</v>
      </c>
      <c r="G539" s="186" t="s">
        <v>94</v>
      </c>
      <c r="H539" s="184" t="s">
        <v>256</v>
      </c>
      <c r="T539" s="184" t="s">
        <v>918</v>
      </c>
    </row>
    <row r="540" spans="1:20">
      <c r="A540" s="182">
        <v>44833</v>
      </c>
      <c r="B540" s="183">
        <v>0.65486111111111112</v>
      </c>
      <c r="C540" s="184" t="s">
        <v>67</v>
      </c>
      <c r="D540" s="184" t="s">
        <v>68</v>
      </c>
      <c r="E540" s="184" t="s">
        <v>96</v>
      </c>
      <c r="F540" s="182">
        <v>44886</v>
      </c>
      <c r="G540" s="186" t="s">
        <v>94</v>
      </c>
      <c r="H540" s="184" t="s">
        <v>305</v>
      </c>
      <c r="T540" s="184" t="s">
        <v>919</v>
      </c>
    </row>
    <row r="541" spans="1:20">
      <c r="A541" s="182">
        <v>44833</v>
      </c>
      <c r="B541" s="183">
        <v>0.6661111111111111</v>
      </c>
      <c r="C541" s="184" t="s">
        <v>67</v>
      </c>
      <c r="D541" s="184" t="s">
        <v>68</v>
      </c>
      <c r="E541" s="184" t="s">
        <v>89</v>
      </c>
      <c r="F541" s="182">
        <v>44867</v>
      </c>
      <c r="G541" s="186" t="s">
        <v>94</v>
      </c>
      <c r="H541" s="184" t="s">
        <v>101</v>
      </c>
      <c r="T541" s="184" t="s">
        <v>920</v>
      </c>
    </row>
    <row r="542" spans="1:20">
      <c r="A542" s="182">
        <v>44833</v>
      </c>
      <c r="B542" s="183">
        <v>0.69351851851851853</v>
      </c>
      <c r="C542" s="184" t="s">
        <v>67</v>
      </c>
      <c r="D542" s="184" t="s">
        <v>91</v>
      </c>
      <c r="E542" s="184" t="s">
        <v>96</v>
      </c>
      <c r="F542" s="182">
        <v>44999</v>
      </c>
      <c r="G542" s="186" t="s">
        <v>70</v>
      </c>
      <c r="H542" s="184" t="s">
        <v>93</v>
      </c>
    </row>
    <row r="543" spans="1:20">
      <c r="A543" s="182">
        <v>44833</v>
      </c>
      <c r="B543" s="183">
        <v>0.70967592592592599</v>
      </c>
      <c r="C543" s="184" t="s">
        <v>67</v>
      </c>
      <c r="D543" s="184" t="s">
        <v>68</v>
      </c>
      <c r="E543" s="184" t="s">
        <v>96</v>
      </c>
      <c r="F543" s="182">
        <v>44886</v>
      </c>
      <c r="G543" s="186" t="s">
        <v>94</v>
      </c>
      <c r="H543" s="184" t="s">
        <v>322</v>
      </c>
      <c r="T543" s="184" t="s">
        <v>921</v>
      </c>
    </row>
    <row r="544" spans="1:20">
      <c r="A544" s="182">
        <v>44834</v>
      </c>
      <c r="B544" s="183">
        <v>0.42796296296296293</v>
      </c>
      <c r="C544" s="184" t="s">
        <v>73</v>
      </c>
      <c r="D544" s="184" t="s">
        <v>68</v>
      </c>
      <c r="E544" s="184" t="s">
        <v>19</v>
      </c>
      <c r="F544" s="182">
        <v>44847</v>
      </c>
      <c r="G544" s="186" t="s">
        <v>115</v>
      </c>
      <c r="H544" s="184" t="s">
        <v>101</v>
      </c>
      <c r="T544" s="184" t="s">
        <v>910</v>
      </c>
    </row>
    <row r="545" spans="1:20">
      <c r="A545" s="182">
        <v>44834</v>
      </c>
      <c r="B545" s="183">
        <v>0.46961805555555558</v>
      </c>
      <c r="C545" s="184" t="s">
        <v>594</v>
      </c>
      <c r="D545" s="184" t="s">
        <v>595</v>
      </c>
      <c r="E545" s="184" t="s">
        <v>922</v>
      </c>
      <c r="F545" s="182">
        <v>44883</v>
      </c>
      <c r="G545" s="186" t="s">
        <v>923</v>
      </c>
      <c r="H545" s="184" t="s">
        <v>924</v>
      </c>
      <c r="T545" s="184" t="s">
        <v>925</v>
      </c>
    </row>
    <row r="546" spans="1:20">
      <c r="A546" s="182">
        <v>44834</v>
      </c>
      <c r="B546" s="183">
        <v>0.4758101851851852</v>
      </c>
      <c r="C546" s="184" t="s">
        <v>67</v>
      </c>
      <c r="D546" s="184" t="s">
        <v>68</v>
      </c>
      <c r="E546" s="184" t="s">
        <v>45</v>
      </c>
      <c r="F546" s="182">
        <v>44883</v>
      </c>
      <c r="G546" s="186" t="s">
        <v>99</v>
      </c>
      <c r="H546" s="184" t="s">
        <v>261</v>
      </c>
      <c r="T546" s="184" t="s">
        <v>926</v>
      </c>
    </row>
    <row r="547" spans="1:20">
      <c r="A547" s="182">
        <v>44834</v>
      </c>
      <c r="B547" s="183">
        <v>0.55853009259259256</v>
      </c>
      <c r="C547" s="184" t="s">
        <v>73</v>
      </c>
      <c r="D547" s="184" t="s">
        <v>68</v>
      </c>
      <c r="E547" s="184" t="s">
        <v>124</v>
      </c>
      <c r="F547" s="182">
        <v>44887</v>
      </c>
      <c r="G547" s="186" t="s">
        <v>94</v>
      </c>
      <c r="H547" s="184" t="s">
        <v>206</v>
      </c>
      <c r="T547" s="184" t="s">
        <v>927</v>
      </c>
    </row>
    <row r="548" spans="1:20">
      <c r="A548" s="182">
        <v>44834</v>
      </c>
      <c r="B548" s="183">
        <v>0.61967592592592591</v>
      </c>
      <c r="C548" s="184" t="s">
        <v>73</v>
      </c>
      <c r="D548" s="184" t="s">
        <v>78</v>
      </c>
      <c r="E548" s="184" t="s">
        <v>19</v>
      </c>
      <c r="F548" s="182">
        <v>44847</v>
      </c>
      <c r="G548" s="186" t="s">
        <v>115</v>
      </c>
      <c r="H548" s="184" t="s">
        <v>98</v>
      </c>
    </row>
    <row r="549" spans="1:20">
      <c r="A549" s="182">
        <v>44834</v>
      </c>
      <c r="B549" s="183">
        <v>0.62011574074074072</v>
      </c>
      <c r="C549" s="184" t="s">
        <v>73</v>
      </c>
      <c r="D549" s="184" t="s">
        <v>78</v>
      </c>
      <c r="E549" s="184" t="s">
        <v>124</v>
      </c>
      <c r="F549" s="182">
        <v>44887</v>
      </c>
      <c r="G549" s="186" t="s">
        <v>99</v>
      </c>
      <c r="H549" s="184" t="s">
        <v>113</v>
      </c>
    </row>
    <row r="550" spans="1:20">
      <c r="A550" s="182">
        <v>44834</v>
      </c>
      <c r="B550" s="183">
        <v>0.68100694444444443</v>
      </c>
      <c r="C550" s="184" t="s">
        <v>67</v>
      </c>
      <c r="D550" s="184" t="s">
        <v>91</v>
      </c>
      <c r="E550" s="184" t="s">
        <v>96</v>
      </c>
      <c r="F550" s="182">
        <v>44886</v>
      </c>
      <c r="G550" s="186" t="s">
        <v>99</v>
      </c>
      <c r="H550" s="184" t="s">
        <v>227</v>
      </c>
    </row>
    <row r="551" spans="1:20">
      <c r="A551" s="182">
        <v>44834</v>
      </c>
      <c r="B551" s="183">
        <v>0.69811342592592596</v>
      </c>
      <c r="C551" s="184" t="s">
        <v>73</v>
      </c>
      <c r="D551" s="184" t="s">
        <v>68</v>
      </c>
      <c r="E551" s="184" t="s">
        <v>89</v>
      </c>
      <c r="F551" s="182">
        <v>44867</v>
      </c>
      <c r="G551" s="186" t="s">
        <v>94</v>
      </c>
      <c r="H551" s="184" t="s">
        <v>103</v>
      </c>
      <c r="T551" s="184" t="s">
        <v>928</v>
      </c>
    </row>
    <row r="552" spans="1:20">
      <c r="A552" s="182">
        <v>44837</v>
      </c>
      <c r="B552" s="183">
        <v>0.40042824074074074</v>
      </c>
      <c r="C552" s="184" t="s">
        <v>67</v>
      </c>
      <c r="D552" s="184" t="s">
        <v>68</v>
      </c>
      <c r="E552" s="184" t="s">
        <v>96</v>
      </c>
      <c r="F552" s="182">
        <v>44886</v>
      </c>
      <c r="G552" s="186" t="s">
        <v>70</v>
      </c>
      <c r="H552" s="184" t="s">
        <v>185</v>
      </c>
      <c r="T552" s="184" t="s">
        <v>929</v>
      </c>
    </row>
    <row r="553" spans="1:20">
      <c r="A553" s="182">
        <v>44837</v>
      </c>
      <c r="B553" s="183">
        <v>0.63510416666666669</v>
      </c>
      <c r="C553" s="184" t="s">
        <v>67</v>
      </c>
      <c r="D553" s="184" t="s">
        <v>91</v>
      </c>
      <c r="E553" s="184" t="s">
        <v>19</v>
      </c>
      <c r="F553" s="182">
        <v>44847</v>
      </c>
      <c r="G553" s="186" t="s">
        <v>94</v>
      </c>
      <c r="H553" s="184" t="s">
        <v>295</v>
      </c>
    </row>
    <row r="554" spans="1:20">
      <c r="A554" s="182">
        <v>44838</v>
      </c>
      <c r="B554" s="183">
        <v>0.48858796296296297</v>
      </c>
      <c r="C554" s="184" t="s">
        <v>73</v>
      </c>
      <c r="D554" s="184" t="s">
        <v>78</v>
      </c>
      <c r="E554" s="184" t="s">
        <v>45</v>
      </c>
      <c r="F554" s="182">
        <v>44883</v>
      </c>
      <c r="G554" s="186" t="s">
        <v>114</v>
      </c>
      <c r="H554" s="184" t="s">
        <v>113</v>
      </c>
    </row>
    <row r="555" spans="1:20">
      <c r="A555" s="182">
        <v>44838</v>
      </c>
      <c r="B555" s="183">
        <v>0.49083333333333329</v>
      </c>
      <c r="C555" s="184" t="s">
        <v>73</v>
      </c>
      <c r="D555" s="184" t="s">
        <v>68</v>
      </c>
      <c r="E555" s="184" t="s">
        <v>96</v>
      </c>
      <c r="F555" s="182">
        <v>44886</v>
      </c>
      <c r="G555" s="186" t="s">
        <v>114</v>
      </c>
      <c r="H555" s="184" t="s">
        <v>190</v>
      </c>
      <c r="T555" s="184" t="s">
        <v>234</v>
      </c>
    </row>
    <row r="556" spans="1:20">
      <c r="A556" s="182">
        <v>44838</v>
      </c>
      <c r="B556" s="183">
        <v>0.49136574074074074</v>
      </c>
      <c r="C556" s="184" t="s">
        <v>73</v>
      </c>
      <c r="D556" s="184" t="s">
        <v>68</v>
      </c>
      <c r="E556" s="184" t="s">
        <v>45</v>
      </c>
      <c r="F556" s="182">
        <v>44883</v>
      </c>
      <c r="G556" s="186" t="s">
        <v>114</v>
      </c>
      <c r="H556" s="184" t="s">
        <v>256</v>
      </c>
      <c r="T556" s="184" t="s">
        <v>234</v>
      </c>
    </row>
    <row r="557" spans="1:20">
      <c r="A557" s="182">
        <v>44838</v>
      </c>
      <c r="B557" s="183">
        <v>0.63511574074074073</v>
      </c>
      <c r="C557" s="184" t="s">
        <v>73</v>
      </c>
      <c r="D557" s="184" t="s">
        <v>91</v>
      </c>
      <c r="E557" s="184" t="s">
        <v>95</v>
      </c>
      <c r="F557" s="182">
        <v>44866</v>
      </c>
      <c r="G557" s="186" t="s">
        <v>94</v>
      </c>
      <c r="H557" s="184" t="s">
        <v>92</v>
      </c>
    </row>
    <row r="558" spans="1:20">
      <c r="A558" s="182">
        <v>44839</v>
      </c>
      <c r="B558" s="183">
        <v>0.41282407407407407</v>
      </c>
      <c r="C558" s="184" t="s">
        <v>67</v>
      </c>
      <c r="D558" s="184" t="s">
        <v>68</v>
      </c>
      <c r="E558" s="184" t="s">
        <v>69</v>
      </c>
      <c r="F558" s="182">
        <v>44845</v>
      </c>
      <c r="G558" s="186" t="s">
        <v>94</v>
      </c>
      <c r="H558" s="184" t="s">
        <v>103</v>
      </c>
      <c r="T558" s="184" t="s">
        <v>930</v>
      </c>
    </row>
    <row r="559" spans="1:20">
      <c r="A559" s="182">
        <v>44839</v>
      </c>
      <c r="B559" s="183">
        <v>0.42601851851851852</v>
      </c>
      <c r="C559" s="184" t="s">
        <v>73</v>
      </c>
      <c r="D559" s="184" t="s">
        <v>68</v>
      </c>
      <c r="E559" s="184" t="s">
        <v>96</v>
      </c>
      <c r="F559" s="182">
        <v>44886</v>
      </c>
      <c r="G559" s="186" t="s">
        <v>112</v>
      </c>
      <c r="H559" s="184" t="s">
        <v>272</v>
      </c>
      <c r="T559" s="184" t="s">
        <v>307</v>
      </c>
    </row>
    <row r="560" spans="1:20">
      <c r="A560" s="182">
        <v>44839</v>
      </c>
      <c r="B560" s="183">
        <v>0.65202546296296293</v>
      </c>
      <c r="C560" s="184" t="s">
        <v>67</v>
      </c>
      <c r="D560" s="184" t="s">
        <v>68</v>
      </c>
      <c r="E560" s="184" t="s">
        <v>204</v>
      </c>
      <c r="F560" s="182">
        <v>44858</v>
      </c>
      <c r="G560" s="186" t="s">
        <v>160</v>
      </c>
      <c r="H560" s="184" t="s">
        <v>76</v>
      </c>
      <c r="T560" s="184" t="s">
        <v>931</v>
      </c>
    </row>
    <row r="561" spans="1:20">
      <c r="A561" s="182">
        <v>44839</v>
      </c>
      <c r="B561" s="183">
        <v>0.67456018518518512</v>
      </c>
      <c r="C561" s="184" t="s">
        <v>73</v>
      </c>
      <c r="D561" s="184" t="s">
        <v>68</v>
      </c>
      <c r="E561" s="184" t="s">
        <v>69</v>
      </c>
      <c r="F561" s="182">
        <v>44845</v>
      </c>
      <c r="G561" s="186" t="s">
        <v>112</v>
      </c>
      <c r="H561" s="184" t="s">
        <v>259</v>
      </c>
      <c r="T561" s="184" t="s">
        <v>932</v>
      </c>
    </row>
    <row r="562" spans="1:20">
      <c r="A562" s="182">
        <v>44839</v>
      </c>
      <c r="B562" s="183">
        <v>0.70130787037037035</v>
      </c>
      <c r="C562" s="184" t="s">
        <v>67</v>
      </c>
      <c r="D562" s="184" t="s">
        <v>68</v>
      </c>
      <c r="E562" s="184" t="s">
        <v>96</v>
      </c>
      <c r="F562" s="182">
        <v>44886</v>
      </c>
      <c r="G562" s="186" t="s">
        <v>94</v>
      </c>
      <c r="H562" s="184" t="s">
        <v>213</v>
      </c>
      <c r="T562" s="184" t="s">
        <v>933</v>
      </c>
    </row>
    <row r="563" spans="1:20">
      <c r="A563" s="182">
        <v>44840</v>
      </c>
      <c r="B563" s="183">
        <v>0.44526620370370368</v>
      </c>
      <c r="C563" s="184" t="s">
        <v>67</v>
      </c>
      <c r="D563" s="184" t="s">
        <v>68</v>
      </c>
      <c r="E563" s="184" t="s">
        <v>19</v>
      </c>
      <c r="F563" s="182">
        <v>44910</v>
      </c>
      <c r="G563" s="186" t="s">
        <v>112</v>
      </c>
      <c r="H563" s="184" t="s">
        <v>261</v>
      </c>
      <c r="T563" s="184" t="s">
        <v>307</v>
      </c>
    </row>
    <row r="564" spans="1:20">
      <c r="A564" s="182">
        <v>44840</v>
      </c>
      <c r="B564" s="183">
        <v>0.45104166666666662</v>
      </c>
      <c r="C564" s="184" t="s">
        <v>67</v>
      </c>
      <c r="D564" s="184" t="s">
        <v>68</v>
      </c>
      <c r="E564" s="184" t="s">
        <v>204</v>
      </c>
      <c r="F564" s="182">
        <v>44858</v>
      </c>
      <c r="G564" s="186" t="s">
        <v>99</v>
      </c>
      <c r="H564" s="184" t="s">
        <v>71</v>
      </c>
      <c r="T564" s="184" t="s">
        <v>713</v>
      </c>
    </row>
    <row r="565" spans="1:20">
      <c r="A565" s="182">
        <v>44840</v>
      </c>
      <c r="B565" s="183">
        <v>0.65252314814814816</v>
      </c>
      <c r="C565" s="184" t="s">
        <v>67</v>
      </c>
      <c r="D565" s="184" t="s">
        <v>68</v>
      </c>
      <c r="E565" s="184" t="s">
        <v>96</v>
      </c>
      <c r="F565" s="182">
        <v>44886</v>
      </c>
      <c r="G565" s="186" t="s">
        <v>94</v>
      </c>
      <c r="H565" s="184" t="s">
        <v>225</v>
      </c>
      <c r="T565" s="184" t="s">
        <v>934</v>
      </c>
    </row>
    <row r="566" spans="1:20">
      <c r="A566" s="182">
        <v>44841</v>
      </c>
      <c r="B566" s="183">
        <v>0.37700231481481478</v>
      </c>
      <c r="C566" s="184" t="s">
        <v>73</v>
      </c>
      <c r="D566" s="184" t="s">
        <v>68</v>
      </c>
      <c r="E566" s="184" t="s">
        <v>45</v>
      </c>
      <c r="F566" s="182">
        <v>44883</v>
      </c>
      <c r="G566" s="186" t="s">
        <v>94</v>
      </c>
      <c r="H566" s="184" t="s">
        <v>305</v>
      </c>
      <c r="T566" s="184" t="s">
        <v>398</v>
      </c>
    </row>
    <row r="567" spans="1:20">
      <c r="A567" s="182">
        <v>44841</v>
      </c>
      <c r="B567" s="183">
        <v>0.40372685185185181</v>
      </c>
      <c r="C567" s="184" t="s">
        <v>67</v>
      </c>
      <c r="D567" s="184" t="s">
        <v>68</v>
      </c>
      <c r="E567" s="184" t="s">
        <v>96</v>
      </c>
      <c r="F567" s="182">
        <v>44886</v>
      </c>
      <c r="G567" s="186" t="s">
        <v>99</v>
      </c>
      <c r="H567" s="184" t="s">
        <v>213</v>
      </c>
      <c r="T567" s="184" t="s">
        <v>456</v>
      </c>
    </row>
    <row r="568" spans="1:20">
      <c r="A568" s="182">
        <v>44841</v>
      </c>
      <c r="B568" s="183">
        <v>0.43824074074074071</v>
      </c>
      <c r="C568" s="184" t="s">
        <v>73</v>
      </c>
      <c r="D568" s="184" t="s">
        <v>68</v>
      </c>
      <c r="E568" s="184" t="s">
        <v>45</v>
      </c>
      <c r="F568" s="182">
        <v>44883</v>
      </c>
      <c r="G568" s="186" t="s">
        <v>115</v>
      </c>
      <c r="H568" s="184" t="s">
        <v>260</v>
      </c>
      <c r="T568" s="184" t="s">
        <v>645</v>
      </c>
    </row>
    <row r="569" spans="1:20">
      <c r="A569" s="182">
        <v>44841</v>
      </c>
      <c r="B569" s="183">
        <v>0.58305555555555555</v>
      </c>
      <c r="C569" s="184" t="s">
        <v>73</v>
      </c>
      <c r="D569" s="184" t="s">
        <v>159</v>
      </c>
      <c r="E569" s="184" t="s">
        <v>95</v>
      </c>
      <c r="F569" s="182">
        <v>44866</v>
      </c>
      <c r="G569" s="186" t="s">
        <v>70</v>
      </c>
      <c r="H569" s="184" t="s">
        <v>216</v>
      </c>
    </row>
    <row r="570" spans="1:20">
      <c r="A570" s="182">
        <v>44841</v>
      </c>
      <c r="B570" s="183">
        <v>0.69428240740740732</v>
      </c>
      <c r="C570" s="184" t="s">
        <v>73</v>
      </c>
      <c r="D570" s="184" t="s">
        <v>68</v>
      </c>
      <c r="E570" s="184" t="s">
        <v>124</v>
      </c>
      <c r="F570" s="182">
        <v>44887</v>
      </c>
      <c r="G570" s="186" t="s">
        <v>94</v>
      </c>
      <c r="H570" s="184" t="s">
        <v>209</v>
      </c>
      <c r="T570" s="184" t="s">
        <v>302</v>
      </c>
    </row>
    <row r="571" spans="1:20">
      <c r="A571" s="182">
        <v>44845</v>
      </c>
      <c r="B571" s="183">
        <v>0.49305555555555558</v>
      </c>
      <c r="C571" s="184" t="s">
        <v>73</v>
      </c>
      <c r="D571" s="184" t="s">
        <v>68</v>
      </c>
      <c r="E571" s="184" t="s">
        <v>96</v>
      </c>
      <c r="F571" s="182">
        <v>44886</v>
      </c>
      <c r="G571" s="186" t="s">
        <v>114</v>
      </c>
      <c r="H571" s="184" t="s">
        <v>231</v>
      </c>
      <c r="T571" s="184" t="s">
        <v>411</v>
      </c>
    </row>
    <row r="572" spans="1:20">
      <c r="A572" s="182">
        <v>44845</v>
      </c>
      <c r="B572" s="183">
        <v>0.55568287037037034</v>
      </c>
      <c r="C572" s="184" t="s">
        <v>73</v>
      </c>
      <c r="D572" s="184" t="s">
        <v>68</v>
      </c>
      <c r="E572" s="184" t="s">
        <v>96</v>
      </c>
      <c r="F572" s="182">
        <v>44886</v>
      </c>
      <c r="G572" s="186" t="s">
        <v>94</v>
      </c>
      <c r="H572" s="184" t="s">
        <v>239</v>
      </c>
      <c r="T572" s="184" t="s">
        <v>935</v>
      </c>
    </row>
    <row r="573" spans="1:20">
      <c r="A573" s="182">
        <v>44845</v>
      </c>
      <c r="B573" s="183">
        <v>0.56333333333333335</v>
      </c>
      <c r="C573" s="184" t="s">
        <v>73</v>
      </c>
      <c r="D573" s="184" t="s">
        <v>68</v>
      </c>
      <c r="E573" s="184" t="s">
        <v>45</v>
      </c>
      <c r="F573" s="182">
        <v>44883</v>
      </c>
      <c r="G573" s="186" t="s">
        <v>94</v>
      </c>
      <c r="H573" s="184" t="s">
        <v>256</v>
      </c>
      <c r="T573" s="184" t="s">
        <v>411</v>
      </c>
    </row>
    <row r="574" spans="1:20">
      <c r="A574" s="182">
        <v>44845</v>
      </c>
      <c r="B574" s="183">
        <v>0.56597222222222221</v>
      </c>
      <c r="C574" s="184" t="s">
        <v>73</v>
      </c>
      <c r="D574" s="184" t="s">
        <v>91</v>
      </c>
      <c r="E574" s="184" t="s">
        <v>95</v>
      </c>
      <c r="F574" s="182">
        <v>44866</v>
      </c>
      <c r="G574" s="186" t="s">
        <v>70</v>
      </c>
      <c r="H574" s="184" t="s">
        <v>227</v>
      </c>
    </row>
    <row r="575" spans="1:20">
      <c r="A575" s="182">
        <v>44845</v>
      </c>
      <c r="B575" s="183">
        <v>0.56622685185185184</v>
      </c>
      <c r="C575" s="184" t="s">
        <v>73</v>
      </c>
      <c r="D575" s="184" t="s">
        <v>68</v>
      </c>
      <c r="E575" s="184" t="s">
        <v>89</v>
      </c>
      <c r="F575" s="182">
        <v>44867</v>
      </c>
      <c r="G575" s="186" t="s">
        <v>99</v>
      </c>
      <c r="H575" s="184" t="s">
        <v>101</v>
      </c>
      <c r="T575" s="184" t="s">
        <v>936</v>
      </c>
    </row>
    <row r="576" spans="1:20">
      <c r="A576" s="182">
        <v>44845</v>
      </c>
      <c r="B576" s="183">
        <v>0.56665509259259261</v>
      </c>
      <c r="C576" s="184" t="s">
        <v>73</v>
      </c>
      <c r="D576" s="184" t="s">
        <v>91</v>
      </c>
      <c r="E576" s="184" t="s">
        <v>89</v>
      </c>
      <c r="F576" s="182">
        <v>44867</v>
      </c>
      <c r="G576" s="186" t="s">
        <v>70</v>
      </c>
      <c r="H576" s="184" t="s">
        <v>93</v>
      </c>
    </row>
    <row r="577" spans="1:20">
      <c r="A577" s="182">
        <v>44845</v>
      </c>
      <c r="B577" s="183">
        <v>0.60718749999999999</v>
      </c>
      <c r="C577" s="184" t="s">
        <v>73</v>
      </c>
      <c r="D577" s="184" t="s">
        <v>68</v>
      </c>
      <c r="E577" s="184" t="s">
        <v>96</v>
      </c>
      <c r="F577" s="182">
        <v>44886</v>
      </c>
      <c r="G577" s="186" t="s">
        <v>94</v>
      </c>
      <c r="H577" s="184" t="s">
        <v>241</v>
      </c>
      <c r="T577" s="184" t="s">
        <v>937</v>
      </c>
    </row>
    <row r="578" spans="1:20">
      <c r="A578" s="182">
        <v>44845</v>
      </c>
      <c r="B578" s="183">
        <v>0.70420138888888895</v>
      </c>
      <c r="C578" s="184" t="s">
        <v>73</v>
      </c>
      <c r="D578" s="184" t="s">
        <v>68</v>
      </c>
      <c r="E578" s="184" t="s">
        <v>96</v>
      </c>
      <c r="F578" s="182">
        <v>44999</v>
      </c>
      <c r="G578" s="186" t="s">
        <v>70</v>
      </c>
      <c r="H578" s="184" t="s">
        <v>71</v>
      </c>
      <c r="T578" s="184" t="s">
        <v>459</v>
      </c>
    </row>
    <row r="579" spans="1:20">
      <c r="A579" s="182">
        <v>44846</v>
      </c>
      <c r="B579" s="183">
        <v>0.44462962962962965</v>
      </c>
      <c r="C579" s="184" t="s">
        <v>67</v>
      </c>
      <c r="D579" s="184" t="s">
        <v>68</v>
      </c>
      <c r="E579" s="184" t="s">
        <v>124</v>
      </c>
      <c r="F579" s="182">
        <v>44887</v>
      </c>
      <c r="G579" s="186" t="s">
        <v>94</v>
      </c>
      <c r="H579" s="184" t="s">
        <v>272</v>
      </c>
      <c r="T579" s="184" t="s">
        <v>249</v>
      </c>
    </row>
    <row r="580" spans="1:20">
      <c r="A580" s="182">
        <v>44846</v>
      </c>
      <c r="B580" s="183">
        <v>0.59458333333333335</v>
      </c>
      <c r="C580" s="184" t="s">
        <v>67</v>
      </c>
      <c r="D580" s="184" t="s">
        <v>78</v>
      </c>
      <c r="E580" s="184" t="s">
        <v>89</v>
      </c>
      <c r="F580" s="182">
        <v>44867</v>
      </c>
      <c r="G580" s="186" t="s">
        <v>83</v>
      </c>
      <c r="H580" s="184" t="s">
        <v>265</v>
      </c>
    </row>
    <row r="581" spans="1:20">
      <c r="A581" s="182">
        <v>44846</v>
      </c>
      <c r="B581" s="183">
        <v>0.64690972222222221</v>
      </c>
      <c r="C581" s="184" t="s">
        <v>67</v>
      </c>
      <c r="D581" s="184" t="s">
        <v>68</v>
      </c>
      <c r="E581" s="184" t="s">
        <v>96</v>
      </c>
      <c r="F581" s="182">
        <v>44886</v>
      </c>
      <c r="G581" s="186" t="s">
        <v>94</v>
      </c>
      <c r="H581" s="184" t="s">
        <v>245</v>
      </c>
      <c r="T581" s="184" t="s">
        <v>938</v>
      </c>
    </row>
    <row r="582" spans="1:20">
      <c r="A582" s="182">
        <v>44847</v>
      </c>
      <c r="B582" s="183">
        <v>0.40620370370370368</v>
      </c>
      <c r="C582" s="184" t="s">
        <v>67</v>
      </c>
      <c r="D582" s="184" t="s">
        <v>68</v>
      </c>
      <c r="E582" s="184" t="s">
        <v>124</v>
      </c>
      <c r="F582" s="182">
        <v>44887</v>
      </c>
      <c r="G582" s="186" t="s">
        <v>94</v>
      </c>
      <c r="H582" s="184" t="s">
        <v>213</v>
      </c>
      <c r="T582" s="184" t="s">
        <v>824</v>
      </c>
    </row>
    <row r="583" spans="1:20">
      <c r="A583" s="182">
        <v>44847</v>
      </c>
      <c r="B583" s="183">
        <v>0.66429398148148155</v>
      </c>
      <c r="C583" s="184" t="s">
        <v>73</v>
      </c>
      <c r="D583" s="184" t="s">
        <v>68</v>
      </c>
      <c r="E583" s="184" t="s">
        <v>124</v>
      </c>
      <c r="F583" s="182">
        <v>44887</v>
      </c>
      <c r="G583" s="186" t="s">
        <v>99</v>
      </c>
      <c r="H583" s="184" t="s">
        <v>272</v>
      </c>
      <c r="T583" s="184" t="s">
        <v>249</v>
      </c>
    </row>
    <row r="584" spans="1:20">
      <c r="A584" s="182">
        <v>44848</v>
      </c>
      <c r="B584" s="183">
        <v>0.47393518518518518</v>
      </c>
      <c r="C584" s="184" t="s">
        <v>73</v>
      </c>
      <c r="D584" s="184" t="s">
        <v>91</v>
      </c>
      <c r="E584" s="184" t="s">
        <v>96</v>
      </c>
      <c r="F584" s="182">
        <v>44886</v>
      </c>
      <c r="G584" s="186" t="s">
        <v>94</v>
      </c>
      <c r="H584" s="184" t="s">
        <v>285</v>
      </c>
    </row>
    <row r="585" spans="1:20">
      <c r="A585" s="182">
        <v>44851</v>
      </c>
      <c r="B585" s="183">
        <v>0.48243055555555553</v>
      </c>
      <c r="C585" s="184" t="s">
        <v>67</v>
      </c>
      <c r="D585" s="184" t="s">
        <v>68</v>
      </c>
      <c r="E585" s="184" t="s">
        <v>95</v>
      </c>
      <c r="F585" s="182">
        <v>44866</v>
      </c>
      <c r="G585" s="186" t="s">
        <v>70</v>
      </c>
      <c r="H585" s="184" t="s">
        <v>76</v>
      </c>
      <c r="T585" s="184" t="s">
        <v>939</v>
      </c>
    </row>
    <row r="586" spans="1:20">
      <c r="A586" s="182">
        <v>44851</v>
      </c>
      <c r="B586" s="183">
        <v>0.48310185185185189</v>
      </c>
      <c r="C586" s="184" t="s">
        <v>67</v>
      </c>
      <c r="D586" s="184" t="s">
        <v>68</v>
      </c>
      <c r="E586" s="184" t="s">
        <v>95</v>
      </c>
      <c r="F586" s="182">
        <v>44866</v>
      </c>
      <c r="G586" s="186" t="s">
        <v>70</v>
      </c>
      <c r="H586" s="184" t="s">
        <v>76</v>
      </c>
      <c r="T586" s="184" t="s">
        <v>939</v>
      </c>
    </row>
    <row r="587" spans="1:20">
      <c r="A587" s="182">
        <v>44852</v>
      </c>
      <c r="B587" s="183">
        <v>0.44784722222222223</v>
      </c>
      <c r="C587" s="184" t="s">
        <v>67</v>
      </c>
      <c r="D587" s="184" t="s">
        <v>68</v>
      </c>
      <c r="E587" s="184" t="s">
        <v>96</v>
      </c>
      <c r="F587" s="182">
        <v>44886</v>
      </c>
      <c r="G587" s="186" t="s">
        <v>94</v>
      </c>
      <c r="H587" s="184" t="s">
        <v>521</v>
      </c>
      <c r="T587" s="184" t="s">
        <v>940</v>
      </c>
    </row>
    <row r="588" spans="1:20">
      <c r="A588" s="182">
        <v>44852</v>
      </c>
      <c r="B588" s="183">
        <v>0.55149305555555561</v>
      </c>
      <c r="C588" s="184" t="s">
        <v>67</v>
      </c>
      <c r="D588" s="184" t="s">
        <v>159</v>
      </c>
      <c r="E588" s="184" t="s">
        <v>95</v>
      </c>
      <c r="F588" s="182">
        <v>44866</v>
      </c>
      <c r="G588" s="186" t="s">
        <v>99</v>
      </c>
      <c r="H588" s="184" t="s">
        <v>216</v>
      </c>
    </row>
    <row r="589" spans="1:20">
      <c r="A589" s="182">
        <v>44855</v>
      </c>
      <c r="B589" s="183">
        <v>0.52493055555555557</v>
      </c>
      <c r="C589" s="184" t="s">
        <v>73</v>
      </c>
      <c r="D589" s="184" t="s">
        <v>68</v>
      </c>
      <c r="E589" s="184" t="s">
        <v>95</v>
      </c>
      <c r="F589" s="182">
        <v>44866</v>
      </c>
      <c r="G589" s="186" t="s">
        <v>99</v>
      </c>
      <c r="H589" s="184" t="s">
        <v>71</v>
      </c>
      <c r="T589" s="184" t="s">
        <v>941</v>
      </c>
    </row>
    <row r="590" spans="1:20">
      <c r="A590" s="182">
        <v>44855</v>
      </c>
      <c r="B590" s="183">
        <v>0.52612268518518512</v>
      </c>
      <c r="C590" s="184" t="s">
        <v>73</v>
      </c>
      <c r="D590" s="184" t="s">
        <v>68</v>
      </c>
      <c r="E590" s="184" t="s">
        <v>95</v>
      </c>
      <c r="F590" s="182">
        <v>44866</v>
      </c>
      <c r="G590" s="186" t="s">
        <v>94</v>
      </c>
      <c r="H590" s="184" t="s">
        <v>76</v>
      </c>
      <c r="T590" s="184" t="s">
        <v>942</v>
      </c>
    </row>
    <row r="591" spans="1:20">
      <c r="A591" s="182">
        <v>44858</v>
      </c>
      <c r="B591" s="183">
        <v>0.3976851851851852</v>
      </c>
      <c r="C591" s="184" t="s">
        <v>67</v>
      </c>
      <c r="D591" s="184" t="s">
        <v>78</v>
      </c>
      <c r="E591" s="184" t="s">
        <v>89</v>
      </c>
      <c r="F591" s="182">
        <v>44867</v>
      </c>
      <c r="G591" s="186" t="s">
        <v>94</v>
      </c>
      <c r="H591" s="184" t="s">
        <v>288</v>
      </c>
    </row>
    <row r="592" spans="1:20">
      <c r="A592" s="182">
        <v>44858</v>
      </c>
      <c r="B592" s="183">
        <v>0.44071759259259258</v>
      </c>
      <c r="C592" s="184" t="s">
        <v>67</v>
      </c>
      <c r="D592" s="184" t="s">
        <v>91</v>
      </c>
      <c r="E592" s="184" t="s">
        <v>85</v>
      </c>
      <c r="F592" s="182">
        <v>44896</v>
      </c>
      <c r="G592" s="186" t="s">
        <v>114</v>
      </c>
      <c r="H592" s="184" t="s">
        <v>227</v>
      </c>
    </row>
    <row r="593" spans="1:20">
      <c r="A593" s="182">
        <v>44858</v>
      </c>
      <c r="B593" s="183">
        <v>0.55731481481481482</v>
      </c>
      <c r="C593" s="184" t="s">
        <v>73</v>
      </c>
      <c r="D593" s="184" t="s">
        <v>68</v>
      </c>
      <c r="E593" s="184" t="s">
        <v>19</v>
      </c>
      <c r="F593" s="182">
        <v>44910</v>
      </c>
      <c r="G593" s="186" t="s">
        <v>94</v>
      </c>
      <c r="H593" s="184" t="s">
        <v>260</v>
      </c>
      <c r="T593" s="184" t="s">
        <v>417</v>
      </c>
    </row>
    <row r="594" spans="1:20">
      <c r="A594" s="182">
        <v>44858</v>
      </c>
      <c r="B594" s="183">
        <v>0.6378935185185185</v>
      </c>
      <c r="C594" s="184" t="s">
        <v>73</v>
      </c>
      <c r="D594" s="184" t="s">
        <v>68</v>
      </c>
      <c r="E594" s="184" t="s">
        <v>19</v>
      </c>
      <c r="F594" s="182">
        <v>44910</v>
      </c>
      <c r="G594" s="186" t="s">
        <v>94</v>
      </c>
      <c r="H594" s="184" t="s">
        <v>256</v>
      </c>
      <c r="T594" s="184" t="s">
        <v>633</v>
      </c>
    </row>
    <row r="595" spans="1:20">
      <c r="A595" s="182">
        <v>44859</v>
      </c>
      <c r="B595" s="183">
        <v>0.43288194444444444</v>
      </c>
      <c r="C595" s="184" t="s">
        <v>67</v>
      </c>
      <c r="D595" s="184" t="s">
        <v>68</v>
      </c>
      <c r="E595" s="184" t="s">
        <v>96</v>
      </c>
      <c r="F595" s="182">
        <v>44886</v>
      </c>
      <c r="G595" s="186" t="s">
        <v>99</v>
      </c>
      <c r="H595" s="184" t="s">
        <v>245</v>
      </c>
      <c r="T595" s="184" t="s">
        <v>469</v>
      </c>
    </row>
    <row r="596" spans="1:20">
      <c r="A596" s="182">
        <v>44859</v>
      </c>
      <c r="B596" s="183">
        <v>0.43391203703703707</v>
      </c>
      <c r="C596" s="184" t="s">
        <v>67</v>
      </c>
      <c r="D596" s="184" t="s">
        <v>91</v>
      </c>
      <c r="E596" s="184" t="s">
        <v>96</v>
      </c>
      <c r="F596" s="182">
        <v>44886</v>
      </c>
      <c r="G596" s="186" t="s">
        <v>94</v>
      </c>
      <c r="H596" s="184" t="s">
        <v>120</v>
      </c>
    </row>
    <row r="597" spans="1:20">
      <c r="A597" s="182">
        <v>44859</v>
      </c>
      <c r="B597" s="183">
        <v>0.56040509259259264</v>
      </c>
      <c r="C597" s="184" t="s">
        <v>67</v>
      </c>
      <c r="D597" s="184" t="s">
        <v>78</v>
      </c>
      <c r="E597" s="184" t="s">
        <v>85</v>
      </c>
      <c r="F597" s="182">
        <v>44896</v>
      </c>
      <c r="G597" s="186" t="s">
        <v>70</v>
      </c>
      <c r="H597" s="184" t="s">
        <v>86</v>
      </c>
    </row>
    <row r="598" spans="1:20">
      <c r="A598" s="182">
        <v>44859</v>
      </c>
      <c r="B598" s="183">
        <v>0.56063657407407408</v>
      </c>
      <c r="C598" s="184" t="s">
        <v>67</v>
      </c>
      <c r="D598" s="184" t="s">
        <v>78</v>
      </c>
      <c r="E598" s="184" t="s">
        <v>45</v>
      </c>
      <c r="F598" s="182">
        <v>44968</v>
      </c>
      <c r="G598" s="186" t="s">
        <v>70</v>
      </c>
      <c r="H598" s="184" t="s">
        <v>86</v>
      </c>
    </row>
    <row r="599" spans="1:20">
      <c r="A599" s="182">
        <v>44859</v>
      </c>
      <c r="B599" s="183">
        <v>0.67016203703703703</v>
      </c>
      <c r="C599" s="184" t="s">
        <v>67</v>
      </c>
      <c r="D599" s="184" t="s">
        <v>78</v>
      </c>
      <c r="E599" s="184" t="s">
        <v>19</v>
      </c>
      <c r="F599" s="182">
        <v>44910</v>
      </c>
      <c r="G599" s="186" t="s">
        <v>94</v>
      </c>
      <c r="H599" s="184" t="s">
        <v>107</v>
      </c>
    </row>
    <row r="600" spans="1:20">
      <c r="A600" s="182">
        <v>44859</v>
      </c>
      <c r="B600" s="183">
        <v>0.68391203703703696</v>
      </c>
      <c r="C600" s="184" t="s">
        <v>67</v>
      </c>
      <c r="D600" s="184" t="s">
        <v>68</v>
      </c>
      <c r="E600" s="184" t="s">
        <v>124</v>
      </c>
      <c r="F600" s="182">
        <v>44887</v>
      </c>
      <c r="G600" s="186" t="s">
        <v>114</v>
      </c>
      <c r="H600" s="184" t="s">
        <v>225</v>
      </c>
      <c r="T600" s="184" t="s">
        <v>943</v>
      </c>
    </row>
    <row r="601" spans="1:20">
      <c r="A601" s="182">
        <v>44860</v>
      </c>
      <c r="B601" s="183">
        <v>0.64234953703703701</v>
      </c>
      <c r="C601" s="184" t="s">
        <v>73</v>
      </c>
      <c r="D601" s="184" t="s">
        <v>68</v>
      </c>
      <c r="E601" s="184" t="s">
        <v>19</v>
      </c>
      <c r="F601" s="182">
        <v>44910</v>
      </c>
      <c r="G601" s="186" t="s">
        <v>114</v>
      </c>
      <c r="H601" s="184" t="s">
        <v>322</v>
      </c>
      <c r="T601" s="184" t="s">
        <v>411</v>
      </c>
    </row>
    <row r="602" spans="1:20">
      <c r="A602" s="182">
        <v>44860</v>
      </c>
      <c r="B602" s="183">
        <v>0.64331018518518512</v>
      </c>
      <c r="C602" s="184" t="s">
        <v>73</v>
      </c>
      <c r="D602" s="184" t="s">
        <v>68</v>
      </c>
      <c r="E602" s="184" t="s">
        <v>45</v>
      </c>
      <c r="F602" s="182">
        <v>44883</v>
      </c>
      <c r="G602" s="186" t="s">
        <v>94</v>
      </c>
      <c r="H602" s="184" t="s">
        <v>305</v>
      </c>
      <c r="T602" s="184" t="s">
        <v>411</v>
      </c>
    </row>
    <row r="603" spans="1:20">
      <c r="A603" s="182">
        <v>44861</v>
      </c>
      <c r="B603" s="183">
        <v>0.40061342592592591</v>
      </c>
      <c r="C603" s="184" t="s">
        <v>67</v>
      </c>
      <c r="D603" s="184" t="s">
        <v>68</v>
      </c>
      <c r="E603" s="184" t="s">
        <v>124</v>
      </c>
      <c r="F603" s="182">
        <v>44887</v>
      </c>
      <c r="G603" s="186" t="s">
        <v>115</v>
      </c>
      <c r="H603" s="184" t="s">
        <v>272</v>
      </c>
      <c r="T603" s="184" t="s">
        <v>944</v>
      </c>
    </row>
    <row r="604" spans="1:20">
      <c r="A604" s="182">
        <v>44861</v>
      </c>
      <c r="B604" s="183">
        <v>0.68018518518518523</v>
      </c>
      <c r="C604" s="184" t="s">
        <v>67</v>
      </c>
      <c r="D604" s="184" t="s">
        <v>91</v>
      </c>
      <c r="E604" s="184" t="s">
        <v>69</v>
      </c>
      <c r="F604" s="182">
        <v>44972</v>
      </c>
      <c r="G604" s="186" t="s">
        <v>70</v>
      </c>
      <c r="H604" s="184" t="s">
        <v>93</v>
      </c>
    </row>
    <row r="605" spans="1:20">
      <c r="A605" s="182">
        <v>44861</v>
      </c>
      <c r="B605" s="183">
        <v>0.70321759259259264</v>
      </c>
      <c r="C605" s="184" t="s">
        <v>67</v>
      </c>
      <c r="D605" s="184" t="s">
        <v>68</v>
      </c>
      <c r="E605" s="184" t="s">
        <v>96</v>
      </c>
      <c r="F605" s="182">
        <v>44999</v>
      </c>
      <c r="G605" s="186" t="s">
        <v>94</v>
      </c>
      <c r="H605" s="184" t="s">
        <v>76</v>
      </c>
      <c r="T605" s="184" t="s">
        <v>945</v>
      </c>
    </row>
    <row r="606" spans="1:20">
      <c r="A606" s="182">
        <v>44861</v>
      </c>
      <c r="B606" s="183">
        <v>0.70624999999999993</v>
      </c>
      <c r="C606" s="184" t="s">
        <v>67</v>
      </c>
      <c r="D606" s="184" t="s">
        <v>68</v>
      </c>
      <c r="E606" s="184" t="s">
        <v>19</v>
      </c>
      <c r="F606" s="182">
        <v>44910</v>
      </c>
      <c r="G606" s="186" t="s">
        <v>94</v>
      </c>
      <c r="H606" s="184" t="s">
        <v>185</v>
      </c>
      <c r="T606" s="184" t="s">
        <v>428</v>
      </c>
    </row>
    <row r="607" spans="1:20">
      <c r="A607" s="182">
        <v>44862</v>
      </c>
      <c r="B607" s="183">
        <v>0.41307870370370375</v>
      </c>
      <c r="C607" s="184" t="s">
        <v>67</v>
      </c>
      <c r="D607" s="184" t="s">
        <v>68</v>
      </c>
      <c r="E607" s="184" t="s">
        <v>45</v>
      </c>
      <c r="F607" s="182">
        <v>44883</v>
      </c>
      <c r="G607" s="186" t="s">
        <v>94</v>
      </c>
      <c r="H607" s="184" t="s">
        <v>322</v>
      </c>
      <c r="T607" s="184" t="s">
        <v>411</v>
      </c>
    </row>
    <row r="608" spans="1:20">
      <c r="A608" s="182">
        <v>44862</v>
      </c>
      <c r="B608" s="183">
        <v>0.43788194444444445</v>
      </c>
      <c r="C608" s="184" t="s">
        <v>73</v>
      </c>
      <c r="D608" s="184" t="s">
        <v>68</v>
      </c>
      <c r="E608" s="184" t="s">
        <v>85</v>
      </c>
      <c r="F608" s="182">
        <v>44896</v>
      </c>
      <c r="G608" s="186" t="s">
        <v>94</v>
      </c>
      <c r="H608" s="184" t="s">
        <v>101</v>
      </c>
      <c r="T608" s="184" t="s">
        <v>150</v>
      </c>
    </row>
    <row r="609" spans="1:20">
      <c r="A609" s="182">
        <v>44862</v>
      </c>
      <c r="B609" s="183">
        <v>0.45283564814814814</v>
      </c>
      <c r="C609" s="184" t="s">
        <v>73</v>
      </c>
      <c r="D609" s="184" t="s">
        <v>68</v>
      </c>
      <c r="E609" s="184" t="s">
        <v>96</v>
      </c>
      <c r="F609" s="182">
        <v>44886</v>
      </c>
      <c r="G609" s="186" t="s">
        <v>99</v>
      </c>
      <c r="H609" s="184" t="s">
        <v>241</v>
      </c>
      <c r="T609" s="184" t="s">
        <v>946</v>
      </c>
    </row>
    <row r="610" spans="1:20">
      <c r="A610" s="182">
        <v>44862</v>
      </c>
      <c r="B610" s="183">
        <v>0.45361111111111113</v>
      </c>
      <c r="C610" s="184" t="s">
        <v>73</v>
      </c>
      <c r="D610" s="184" t="s">
        <v>68</v>
      </c>
      <c r="E610" s="184" t="s">
        <v>96</v>
      </c>
      <c r="F610" s="182">
        <v>44886</v>
      </c>
      <c r="G610" s="186" t="s">
        <v>94</v>
      </c>
      <c r="H610" s="184" t="s">
        <v>245</v>
      </c>
      <c r="T610" s="184" t="s">
        <v>411</v>
      </c>
    </row>
    <row r="611" spans="1:20">
      <c r="A611" s="182">
        <v>44862</v>
      </c>
      <c r="B611" s="183">
        <v>0.48155092592592591</v>
      </c>
      <c r="C611" s="184" t="s">
        <v>73</v>
      </c>
      <c r="D611" s="184" t="s">
        <v>78</v>
      </c>
      <c r="E611" s="184" t="s">
        <v>85</v>
      </c>
      <c r="F611" s="182">
        <v>44896</v>
      </c>
      <c r="G611" s="186" t="s">
        <v>94</v>
      </c>
      <c r="H611" s="184" t="s">
        <v>107</v>
      </c>
    </row>
    <row r="612" spans="1:20">
      <c r="A612" s="182">
        <v>44862</v>
      </c>
      <c r="B612" s="183">
        <v>0.54866898148148147</v>
      </c>
      <c r="C612" s="184" t="s">
        <v>73</v>
      </c>
      <c r="D612" s="184" t="s">
        <v>78</v>
      </c>
      <c r="E612" s="184" t="s">
        <v>124</v>
      </c>
      <c r="F612" s="182">
        <v>44887</v>
      </c>
      <c r="G612" s="186" t="s">
        <v>99</v>
      </c>
      <c r="H612" s="184" t="s">
        <v>106</v>
      </c>
    </row>
    <row r="613" spans="1:20">
      <c r="A613" s="182">
        <v>44862</v>
      </c>
      <c r="B613" s="183">
        <v>0.60773148148148148</v>
      </c>
      <c r="C613" s="184" t="s">
        <v>73</v>
      </c>
      <c r="D613" s="184" t="s">
        <v>68</v>
      </c>
      <c r="E613" s="184" t="s">
        <v>96</v>
      </c>
      <c r="F613" s="182">
        <v>44999</v>
      </c>
      <c r="G613" s="186" t="s">
        <v>94</v>
      </c>
      <c r="H613" s="184" t="s">
        <v>87</v>
      </c>
      <c r="T613" s="184" t="s">
        <v>947</v>
      </c>
    </row>
    <row r="614" spans="1:20">
      <c r="A614" s="182">
        <v>44862</v>
      </c>
      <c r="B614" s="183">
        <v>0.63493055555555555</v>
      </c>
      <c r="C614" s="184" t="s">
        <v>73</v>
      </c>
      <c r="D614" s="184" t="s">
        <v>68</v>
      </c>
      <c r="E614" s="184" t="s">
        <v>124</v>
      </c>
      <c r="F614" s="182">
        <v>44887</v>
      </c>
      <c r="G614" s="186" t="s">
        <v>94</v>
      </c>
      <c r="H614" s="184" t="s">
        <v>213</v>
      </c>
      <c r="T614" s="184" t="s">
        <v>633</v>
      </c>
    </row>
    <row r="615" spans="1:20">
      <c r="A615" s="182">
        <v>44862</v>
      </c>
      <c r="B615" s="183">
        <v>0.6367708333333334</v>
      </c>
      <c r="C615" s="184" t="s">
        <v>73</v>
      </c>
      <c r="D615" s="184" t="s">
        <v>68</v>
      </c>
      <c r="E615" s="184" t="s">
        <v>45</v>
      </c>
      <c r="F615" s="182">
        <v>44968</v>
      </c>
      <c r="G615" s="186" t="s">
        <v>70</v>
      </c>
      <c r="H615" s="184" t="s">
        <v>71</v>
      </c>
      <c r="T615" s="184" t="s">
        <v>633</v>
      </c>
    </row>
    <row r="616" spans="1:20">
      <c r="A616" s="182">
        <v>44865</v>
      </c>
      <c r="B616" s="183">
        <v>0.45949074074074076</v>
      </c>
      <c r="C616" s="184" t="s">
        <v>67</v>
      </c>
      <c r="D616" s="184" t="s">
        <v>68</v>
      </c>
      <c r="E616" s="184" t="s">
        <v>96</v>
      </c>
      <c r="F616" s="182">
        <v>44886</v>
      </c>
      <c r="G616" s="186" t="s">
        <v>99</v>
      </c>
      <c r="H616" s="184" t="s">
        <v>241</v>
      </c>
      <c r="T616" s="184" t="s">
        <v>940</v>
      </c>
    </row>
    <row r="617" spans="1:20">
      <c r="A617" s="182">
        <v>44865</v>
      </c>
      <c r="B617" s="183">
        <v>0.46150462962962963</v>
      </c>
      <c r="C617" s="184" t="s">
        <v>67</v>
      </c>
      <c r="D617" s="184" t="s">
        <v>91</v>
      </c>
      <c r="E617" s="184" t="s">
        <v>96</v>
      </c>
      <c r="F617" s="182">
        <v>44886</v>
      </c>
      <c r="G617" s="186" t="s">
        <v>94</v>
      </c>
      <c r="H617" s="184" t="s">
        <v>229</v>
      </c>
    </row>
    <row r="618" spans="1:20">
      <c r="A618" s="182">
        <v>44865</v>
      </c>
      <c r="B618" s="183">
        <v>0.56996527777777783</v>
      </c>
      <c r="C618" s="184" t="s">
        <v>67</v>
      </c>
      <c r="D618" s="184" t="s">
        <v>68</v>
      </c>
      <c r="E618" s="184" t="s">
        <v>19</v>
      </c>
      <c r="F618" s="182">
        <v>44910</v>
      </c>
      <c r="G618" s="186" t="s">
        <v>114</v>
      </c>
      <c r="H618" s="184" t="s">
        <v>190</v>
      </c>
      <c r="T618" s="184" t="s">
        <v>948</v>
      </c>
    </row>
    <row r="619" spans="1:20">
      <c r="A619" s="182">
        <v>44865</v>
      </c>
      <c r="B619" s="183">
        <v>0.57076388888888896</v>
      </c>
      <c r="C619" s="184" t="s">
        <v>67</v>
      </c>
      <c r="D619" s="184" t="s">
        <v>68</v>
      </c>
      <c r="E619" s="184" t="s">
        <v>45</v>
      </c>
      <c r="F619" s="182">
        <v>44883</v>
      </c>
      <c r="G619" s="186" t="s">
        <v>114</v>
      </c>
      <c r="H619" s="184" t="s">
        <v>308</v>
      </c>
      <c r="T619" s="184" t="s">
        <v>948</v>
      </c>
    </row>
    <row r="620" spans="1:20">
      <c r="A620" s="182">
        <v>44865</v>
      </c>
      <c r="B620" s="183">
        <v>0.58616898148148155</v>
      </c>
      <c r="C620" s="184" t="s">
        <v>67</v>
      </c>
      <c r="D620" s="184" t="s">
        <v>68</v>
      </c>
      <c r="E620" s="184" t="s">
        <v>19</v>
      </c>
      <c r="F620" s="182">
        <v>44910</v>
      </c>
      <c r="G620" s="186" t="s">
        <v>94</v>
      </c>
      <c r="H620" s="184" t="s">
        <v>206</v>
      </c>
      <c r="T620" s="184" t="s">
        <v>949</v>
      </c>
    </row>
    <row r="621" spans="1:20">
      <c r="A621" s="182">
        <v>44865</v>
      </c>
      <c r="B621" s="183">
        <v>0.60144675925925928</v>
      </c>
      <c r="C621" s="184" t="s">
        <v>67</v>
      </c>
      <c r="D621" s="184" t="s">
        <v>68</v>
      </c>
      <c r="E621" s="184" t="s">
        <v>96</v>
      </c>
      <c r="F621" s="182">
        <v>44999</v>
      </c>
      <c r="G621" s="186" t="s">
        <v>94</v>
      </c>
      <c r="H621" s="184" t="s">
        <v>101</v>
      </c>
      <c r="T621" s="184" t="s">
        <v>950</v>
      </c>
    </row>
    <row r="622" spans="1:20">
      <c r="A622" s="182">
        <v>44866</v>
      </c>
      <c r="B622" s="183">
        <v>0.41068287037037038</v>
      </c>
      <c r="C622" s="184" t="s">
        <v>67</v>
      </c>
      <c r="D622" s="184" t="s">
        <v>68</v>
      </c>
      <c r="E622" s="184" t="s">
        <v>124</v>
      </c>
      <c r="F622" s="182">
        <v>44887</v>
      </c>
      <c r="G622" s="186" t="s">
        <v>94</v>
      </c>
      <c r="H622" s="184" t="s">
        <v>225</v>
      </c>
      <c r="T622" s="184" t="s">
        <v>951</v>
      </c>
    </row>
    <row r="623" spans="1:20">
      <c r="A623" s="182">
        <v>44866</v>
      </c>
      <c r="B623" s="183">
        <v>0.54361111111111116</v>
      </c>
      <c r="C623" s="184" t="s">
        <v>67</v>
      </c>
      <c r="D623" s="184" t="s">
        <v>91</v>
      </c>
      <c r="E623" s="184" t="s">
        <v>124</v>
      </c>
      <c r="F623" s="182">
        <v>44887</v>
      </c>
      <c r="G623" s="186" t="s">
        <v>94</v>
      </c>
      <c r="H623" s="184" t="s">
        <v>227</v>
      </c>
    </row>
    <row r="624" spans="1:20">
      <c r="A624" s="182">
        <v>44866</v>
      </c>
      <c r="B624" s="183">
        <v>0.5516550925925926</v>
      </c>
      <c r="C624" s="184" t="s">
        <v>67</v>
      </c>
      <c r="D624" s="184" t="s">
        <v>78</v>
      </c>
      <c r="E624" s="184" t="s">
        <v>19</v>
      </c>
      <c r="F624" s="182">
        <v>44910</v>
      </c>
      <c r="G624" s="186" t="s">
        <v>112</v>
      </c>
      <c r="H624" s="184" t="s">
        <v>265</v>
      </c>
    </row>
    <row r="625" spans="1:20">
      <c r="A625" s="182">
        <v>44866</v>
      </c>
      <c r="B625" s="183">
        <v>0.61083333333333334</v>
      </c>
      <c r="C625" s="184" t="s">
        <v>73</v>
      </c>
      <c r="D625" s="184" t="s">
        <v>68</v>
      </c>
      <c r="E625" s="184" t="s">
        <v>45</v>
      </c>
      <c r="F625" s="182">
        <v>44883</v>
      </c>
      <c r="G625" s="186" t="s">
        <v>99</v>
      </c>
      <c r="H625" s="184" t="s">
        <v>185</v>
      </c>
      <c r="T625" s="184" t="s">
        <v>411</v>
      </c>
    </row>
    <row r="626" spans="1:20">
      <c r="A626" s="182">
        <v>44867</v>
      </c>
      <c r="B626" s="183">
        <v>0.42562499999999998</v>
      </c>
      <c r="C626" s="184" t="s">
        <v>73</v>
      </c>
      <c r="D626" s="184" t="s">
        <v>68</v>
      </c>
      <c r="E626" s="184" t="s">
        <v>45</v>
      </c>
      <c r="F626" s="182">
        <v>44883</v>
      </c>
      <c r="G626" s="186" t="s">
        <v>112</v>
      </c>
      <c r="H626" s="184" t="s">
        <v>206</v>
      </c>
      <c r="T626" s="184" t="s">
        <v>819</v>
      </c>
    </row>
    <row r="627" spans="1:20">
      <c r="A627" s="182">
        <v>44869</v>
      </c>
      <c r="B627" s="183">
        <v>0.39924768518518516</v>
      </c>
      <c r="C627" s="184" t="s">
        <v>67</v>
      </c>
      <c r="D627" s="184" t="s">
        <v>78</v>
      </c>
      <c r="E627" s="184" t="s">
        <v>19</v>
      </c>
      <c r="F627" s="182">
        <v>44910</v>
      </c>
      <c r="G627" s="186" t="s">
        <v>94</v>
      </c>
      <c r="H627" s="184" t="s">
        <v>288</v>
      </c>
    </row>
    <row r="628" spans="1:20">
      <c r="A628" s="182">
        <v>44869</v>
      </c>
      <c r="B628" s="183">
        <v>0.39946759259259257</v>
      </c>
      <c r="C628" s="184" t="s">
        <v>67</v>
      </c>
      <c r="D628" s="184" t="s">
        <v>78</v>
      </c>
      <c r="E628" s="184" t="s">
        <v>45</v>
      </c>
      <c r="F628" s="182">
        <v>44968</v>
      </c>
      <c r="G628" s="186" t="s">
        <v>94</v>
      </c>
      <c r="H628" s="184" t="s">
        <v>107</v>
      </c>
    </row>
    <row r="629" spans="1:20">
      <c r="A629" s="182">
        <v>44869</v>
      </c>
      <c r="B629" s="183">
        <v>0.39967592592592593</v>
      </c>
      <c r="C629" s="184" t="s">
        <v>67</v>
      </c>
      <c r="D629" s="184" t="s">
        <v>78</v>
      </c>
      <c r="E629" s="184" t="s">
        <v>96</v>
      </c>
      <c r="F629" s="182">
        <v>44999</v>
      </c>
      <c r="G629" s="186" t="s">
        <v>94</v>
      </c>
      <c r="H629" s="184" t="s">
        <v>107</v>
      </c>
    </row>
    <row r="630" spans="1:20">
      <c r="A630" s="182">
        <v>44869</v>
      </c>
      <c r="B630" s="183">
        <v>0.54390046296296302</v>
      </c>
      <c r="C630" s="184" t="s">
        <v>67</v>
      </c>
      <c r="D630" s="184" t="s">
        <v>68</v>
      </c>
      <c r="E630" s="184" t="s">
        <v>19</v>
      </c>
      <c r="F630" s="182">
        <v>44910</v>
      </c>
      <c r="G630" s="186" t="s">
        <v>83</v>
      </c>
      <c r="H630" s="184" t="s">
        <v>225</v>
      </c>
      <c r="T630" s="184" t="s">
        <v>952</v>
      </c>
    </row>
    <row r="631" spans="1:20">
      <c r="A631" s="182">
        <v>44869</v>
      </c>
      <c r="B631" s="183">
        <v>0.58077546296296301</v>
      </c>
      <c r="C631" s="184" t="s">
        <v>67</v>
      </c>
      <c r="D631" s="184" t="s">
        <v>68</v>
      </c>
      <c r="E631" s="184" t="s">
        <v>19</v>
      </c>
      <c r="F631" s="182">
        <v>44910</v>
      </c>
      <c r="G631" s="186" t="s">
        <v>114</v>
      </c>
      <c r="H631" s="184" t="s">
        <v>239</v>
      </c>
      <c r="T631" s="184" t="s">
        <v>953</v>
      </c>
    </row>
    <row r="632" spans="1:20">
      <c r="A632" s="182">
        <v>44872</v>
      </c>
      <c r="B632" s="183">
        <v>0.54983796296296295</v>
      </c>
      <c r="C632" s="184" t="s">
        <v>73</v>
      </c>
      <c r="D632" s="184" t="s">
        <v>68</v>
      </c>
      <c r="E632" s="184" t="s">
        <v>45</v>
      </c>
      <c r="F632" s="182">
        <v>44883</v>
      </c>
      <c r="G632" s="186" t="s">
        <v>94</v>
      </c>
      <c r="H632" s="184" t="s">
        <v>209</v>
      </c>
      <c r="T632" s="184" t="s">
        <v>230</v>
      </c>
    </row>
    <row r="633" spans="1:20">
      <c r="A633" s="182">
        <v>44872</v>
      </c>
      <c r="B633" s="183">
        <v>0.6239351851851852</v>
      </c>
      <c r="C633" s="184" t="s">
        <v>73</v>
      </c>
      <c r="D633" s="184" t="s">
        <v>68</v>
      </c>
      <c r="E633" s="184" t="s">
        <v>124</v>
      </c>
      <c r="F633" s="182">
        <v>44887</v>
      </c>
      <c r="G633" s="186" t="s">
        <v>94</v>
      </c>
      <c r="H633" s="184" t="s">
        <v>231</v>
      </c>
      <c r="T633" s="184" t="s">
        <v>954</v>
      </c>
    </row>
    <row r="634" spans="1:20">
      <c r="A634" s="182">
        <v>44873</v>
      </c>
      <c r="B634" s="183">
        <v>0.68891203703703707</v>
      </c>
      <c r="C634" s="184" t="s">
        <v>67</v>
      </c>
      <c r="D634" s="184" t="s">
        <v>68</v>
      </c>
      <c r="E634" s="184" t="s">
        <v>19</v>
      </c>
      <c r="F634" s="182">
        <v>44978</v>
      </c>
      <c r="G634" s="186" t="s">
        <v>114</v>
      </c>
      <c r="H634" s="184" t="s">
        <v>87</v>
      </c>
      <c r="T634" s="184" t="s">
        <v>674</v>
      </c>
    </row>
    <row r="635" spans="1:20">
      <c r="A635" s="182">
        <v>44874</v>
      </c>
      <c r="B635" s="183">
        <v>0.36829861111111112</v>
      </c>
      <c r="C635" s="184" t="s">
        <v>67</v>
      </c>
      <c r="D635" s="184" t="s">
        <v>68</v>
      </c>
      <c r="E635" s="184" t="s">
        <v>96</v>
      </c>
      <c r="F635" s="182">
        <v>44886</v>
      </c>
      <c r="G635" s="186" t="s">
        <v>99</v>
      </c>
      <c r="H635" s="184" t="s">
        <v>239</v>
      </c>
      <c r="T635" s="184" t="s">
        <v>955</v>
      </c>
    </row>
    <row r="636" spans="1:20">
      <c r="A636" s="182">
        <v>44874</v>
      </c>
      <c r="B636" s="183">
        <v>0.42592592592592587</v>
      </c>
      <c r="C636" s="184" t="s">
        <v>73</v>
      </c>
      <c r="D636" s="184" t="s">
        <v>68</v>
      </c>
      <c r="E636" s="184" t="s">
        <v>96</v>
      </c>
      <c r="F636" s="182">
        <v>44886</v>
      </c>
      <c r="G636" s="186" t="s">
        <v>94</v>
      </c>
      <c r="H636" s="184" t="s">
        <v>241</v>
      </c>
      <c r="T636" s="184" t="s">
        <v>956</v>
      </c>
    </row>
    <row r="637" spans="1:20">
      <c r="A637" s="182">
        <v>44874</v>
      </c>
      <c r="B637" s="183">
        <v>0.55592592592592593</v>
      </c>
      <c r="C637" s="184" t="s">
        <v>73</v>
      </c>
      <c r="D637" s="184" t="s">
        <v>68</v>
      </c>
      <c r="E637" s="184" t="s">
        <v>124</v>
      </c>
      <c r="F637" s="182">
        <v>44887</v>
      </c>
      <c r="G637" s="186" t="s">
        <v>94</v>
      </c>
      <c r="H637" s="184" t="s">
        <v>239</v>
      </c>
      <c r="T637" s="184" t="s">
        <v>958</v>
      </c>
    </row>
    <row r="638" spans="1:20">
      <c r="A638" s="182">
        <v>44874</v>
      </c>
      <c r="B638" s="183">
        <v>0.59401620370370367</v>
      </c>
      <c r="C638" s="184" t="s">
        <v>73</v>
      </c>
      <c r="D638" s="184" t="s">
        <v>68</v>
      </c>
      <c r="E638" s="184" t="s">
        <v>124</v>
      </c>
      <c r="F638" s="182">
        <v>44887</v>
      </c>
      <c r="G638" s="186" t="s">
        <v>99</v>
      </c>
      <c r="H638" s="184" t="s">
        <v>231</v>
      </c>
      <c r="T638" s="184" t="s">
        <v>959</v>
      </c>
    </row>
    <row r="639" spans="1:20">
      <c r="A639" s="182">
        <v>44875</v>
      </c>
      <c r="B639" s="183">
        <v>0.57974537037037044</v>
      </c>
      <c r="C639" s="184" t="s">
        <v>67</v>
      </c>
      <c r="D639" s="184" t="s">
        <v>68</v>
      </c>
      <c r="E639" s="184" t="s">
        <v>19</v>
      </c>
      <c r="F639" s="182">
        <v>44910</v>
      </c>
      <c r="G639" s="186" t="s">
        <v>94</v>
      </c>
      <c r="H639" s="184" t="s">
        <v>241</v>
      </c>
      <c r="T639" s="184" t="s">
        <v>960</v>
      </c>
    </row>
    <row r="640" spans="1:20">
      <c r="A640" s="182">
        <v>44876</v>
      </c>
      <c r="B640" s="183">
        <v>0.44378472222222221</v>
      </c>
      <c r="C640" s="184" t="s">
        <v>73</v>
      </c>
      <c r="D640" s="184" t="s">
        <v>68</v>
      </c>
      <c r="E640" s="184" t="s">
        <v>124</v>
      </c>
      <c r="F640" s="182">
        <v>44887</v>
      </c>
      <c r="G640" s="186" t="s">
        <v>94</v>
      </c>
      <c r="H640" s="184" t="s">
        <v>239</v>
      </c>
      <c r="T640" s="184" t="s">
        <v>961</v>
      </c>
    </row>
    <row r="641" spans="1:20">
      <c r="A641" s="182">
        <v>44876</v>
      </c>
      <c r="B641" s="183">
        <v>0.69231481481481483</v>
      </c>
      <c r="C641" s="184" t="s">
        <v>73</v>
      </c>
      <c r="D641" s="184" t="s">
        <v>68</v>
      </c>
      <c r="E641" s="184" t="s">
        <v>124</v>
      </c>
      <c r="F641" s="182">
        <v>44887</v>
      </c>
      <c r="G641" s="186" t="s">
        <v>94</v>
      </c>
      <c r="H641" s="184" t="s">
        <v>241</v>
      </c>
      <c r="T641" s="184" t="s">
        <v>962</v>
      </c>
    </row>
    <row r="642" spans="1:20">
      <c r="A642" s="182">
        <v>44879</v>
      </c>
      <c r="B642" s="183">
        <v>0.41413194444444446</v>
      </c>
      <c r="C642" s="184" t="s">
        <v>73</v>
      </c>
      <c r="D642" s="184" t="s">
        <v>78</v>
      </c>
      <c r="E642" s="184" t="s">
        <v>45</v>
      </c>
      <c r="F642" s="182">
        <v>44883</v>
      </c>
      <c r="G642" s="186" t="s">
        <v>99</v>
      </c>
      <c r="H642" s="184" t="s">
        <v>106</v>
      </c>
    </row>
    <row r="643" spans="1:20">
      <c r="A643" s="182">
        <v>44879</v>
      </c>
      <c r="B643" s="183">
        <v>0.44648148148148148</v>
      </c>
      <c r="C643" s="184" t="s">
        <v>73</v>
      </c>
      <c r="D643" s="184" t="s">
        <v>68</v>
      </c>
      <c r="E643" s="184" t="s">
        <v>19</v>
      </c>
      <c r="F643" s="182">
        <v>44978</v>
      </c>
      <c r="G643" s="186" t="s">
        <v>70</v>
      </c>
      <c r="H643" s="184" t="s">
        <v>101</v>
      </c>
      <c r="T643" s="184" t="s">
        <v>945</v>
      </c>
    </row>
    <row r="644" spans="1:20">
      <c r="A644" s="182">
        <v>44879</v>
      </c>
      <c r="B644" s="183">
        <v>0.44826388888888885</v>
      </c>
      <c r="C644" s="184" t="s">
        <v>73</v>
      </c>
      <c r="D644" s="184" t="s">
        <v>68</v>
      </c>
      <c r="E644" s="184" t="s">
        <v>96</v>
      </c>
      <c r="F644" s="182">
        <v>44999</v>
      </c>
      <c r="G644" s="186" t="s">
        <v>70</v>
      </c>
      <c r="H644" s="184" t="s">
        <v>103</v>
      </c>
      <c r="T644" s="184" t="s">
        <v>945</v>
      </c>
    </row>
    <row r="645" spans="1:20">
      <c r="A645" s="182">
        <v>44879</v>
      </c>
      <c r="B645" s="183">
        <v>0.54927083333333326</v>
      </c>
      <c r="C645" s="184" t="s">
        <v>73</v>
      </c>
      <c r="D645" s="184" t="s">
        <v>68</v>
      </c>
      <c r="E645" s="184" t="s">
        <v>124</v>
      </c>
      <c r="F645" s="182">
        <v>44887</v>
      </c>
      <c r="G645" s="186" t="s">
        <v>99</v>
      </c>
      <c r="H645" s="184" t="s">
        <v>239</v>
      </c>
      <c r="T645" s="184" t="s">
        <v>963</v>
      </c>
    </row>
    <row r="646" spans="1:20">
      <c r="A646" s="182">
        <v>44880</v>
      </c>
      <c r="B646" s="183">
        <v>0.56512731481481482</v>
      </c>
      <c r="C646" s="184" t="s">
        <v>67</v>
      </c>
      <c r="D646" s="184" t="s">
        <v>159</v>
      </c>
      <c r="E646" s="184" t="s">
        <v>19</v>
      </c>
      <c r="F646" s="182">
        <v>44910</v>
      </c>
      <c r="G646" s="186" t="s">
        <v>70</v>
      </c>
      <c r="H646" s="184" t="s">
        <v>216</v>
      </c>
      <c r="I646" s="184" t="s">
        <v>964</v>
      </c>
    </row>
    <row r="647" spans="1:20">
      <c r="A647" s="182">
        <v>44880</v>
      </c>
      <c r="B647" s="183">
        <v>0.56517361111111108</v>
      </c>
      <c r="C647" s="184" t="s">
        <v>67</v>
      </c>
      <c r="D647" s="184" t="s">
        <v>159</v>
      </c>
      <c r="E647" s="184" t="s">
        <v>19</v>
      </c>
      <c r="F647" s="182">
        <v>44978</v>
      </c>
      <c r="G647" s="186" t="s">
        <v>70</v>
      </c>
      <c r="H647" s="184" t="s">
        <v>216</v>
      </c>
      <c r="I647" s="184" t="s">
        <v>964</v>
      </c>
    </row>
    <row r="648" spans="1:20">
      <c r="A648" s="182">
        <v>44882</v>
      </c>
      <c r="B648" s="183">
        <v>0.42798611111111112</v>
      </c>
      <c r="C648" s="184" t="s">
        <v>67</v>
      </c>
      <c r="D648" s="184" t="s">
        <v>68</v>
      </c>
      <c r="E648" s="184" t="s">
        <v>19</v>
      </c>
      <c r="F648" s="182">
        <v>44910</v>
      </c>
      <c r="G648" s="186" t="s">
        <v>94</v>
      </c>
      <c r="H648" s="184" t="s">
        <v>245</v>
      </c>
      <c r="T648" s="184" t="s">
        <v>944</v>
      </c>
    </row>
    <row r="649" spans="1:20">
      <c r="A649" s="182">
        <v>44882</v>
      </c>
      <c r="B649" s="183">
        <v>0.46300925925925923</v>
      </c>
      <c r="C649" s="184" t="s">
        <v>67</v>
      </c>
      <c r="D649" s="184" t="s">
        <v>68</v>
      </c>
      <c r="E649" s="184" t="s">
        <v>85</v>
      </c>
      <c r="F649" s="182">
        <v>44896</v>
      </c>
      <c r="G649" s="186" t="s">
        <v>94</v>
      </c>
      <c r="H649" s="184" t="s">
        <v>103</v>
      </c>
      <c r="T649" s="184" t="s">
        <v>965</v>
      </c>
    </row>
    <row r="650" spans="1:20">
      <c r="A650" s="182">
        <v>44883</v>
      </c>
      <c r="B650" s="183">
        <v>0.66756944444444455</v>
      </c>
      <c r="C650" s="184" t="s">
        <v>73</v>
      </c>
      <c r="D650" s="184" t="s">
        <v>68</v>
      </c>
      <c r="E650" s="184" t="s">
        <v>45</v>
      </c>
      <c r="F650" s="182">
        <v>44968</v>
      </c>
      <c r="G650" s="186" t="s">
        <v>112</v>
      </c>
      <c r="H650" s="184" t="s">
        <v>101</v>
      </c>
      <c r="T650" s="184" t="s">
        <v>203</v>
      </c>
    </row>
    <row r="651" spans="1:20">
      <c r="A651" s="182">
        <v>44883</v>
      </c>
      <c r="B651" s="183">
        <v>0.69234953703703705</v>
      </c>
      <c r="C651" s="184" t="s">
        <v>73</v>
      </c>
      <c r="D651" s="184" t="s">
        <v>78</v>
      </c>
      <c r="E651" s="184" t="s">
        <v>19</v>
      </c>
      <c r="F651" s="182">
        <v>44910</v>
      </c>
      <c r="G651" s="186" t="s">
        <v>94</v>
      </c>
      <c r="H651" s="184" t="s">
        <v>267</v>
      </c>
    </row>
    <row r="652" spans="1:20">
      <c r="A652" s="182">
        <v>44886</v>
      </c>
      <c r="B652" s="183">
        <v>0.38056712962962963</v>
      </c>
      <c r="C652" s="184" t="s">
        <v>67</v>
      </c>
      <c r="D652" s="184" t="s">
        <v>68</v>
      </c>
      <c r="E652" s="184" t="s">
        <v>19</v>
      </c>
      <c r="F652" s="182">
        <v>44910</v>
      </c>
      <c r="G652" s="186" t="s">
        <v>114</v>
      </c>
      <c r="H652" s="184" t="s">
        <v>392</v>
      </c>
      <c r="T652" s="184" t="s">
        <v>798</v>
      </c>
    </row>
    <row r="653" spans="1:20">
      <c r="A653" s="182">
        <v>44886</v>
      </c>
      <c r="B653" s="183">
        <v>0.38156250000000003</v>
      </c>
      <c r="C653" s="184" t="s">
        <v>67</v>
      </c>
      <c r="D653" s="184" t="s">
        <v>68</v>
      </c>
      <c r="E653" s="184" t="s">
        <v>19</v>
      </c>
      <c r="F653" s="182">
        <v>44910</v>
      </c>
      <c r="G653" s="186" t="s">
        <v>94</v>
      </c>
      <c r="H653" s="184" t="s">
        <v>247</v>
      </c>
    </row>
    <row r="654" spans="1:20">
      <c r="A654" s="182">
        <v>44886</v>
      </c>
      <c r="B654" s="183">
        <v>0.3831134259259259</v>
      </c>
      <c r="C654" s="184" t="s">
        <v>67</v>
      </c>
      <c r="D654" s="184" t="s">
        <v>68</v>
      </c>
      <c r="E654" s="184" t="s">
        <v>19</v>
      </c>
      <c r="F654" s="182">
        <v>44910</v>
      </c>
      <c r="G654" s="186" t="s">
        <v>94</v>
      </c>
      <c r="H654" s="184" t="s">
        <v>247</v>
      </c>
      <c r="T654" s="184" t="s">
        <v>966</v>
      </c>
    </row>
    <row r="655" spans="1:20">
      <c r="A655" s="182">
        <v>44886</v>
      </c>
      <c r="B655" s="183">
        <v>0.42920138888888887</v>
      </c>
      <c r="C655" s="184" t="s">
        <v>73</v>
      </c>
      <c r="D655" s="184" t="s">
        <v>68</v>
      </c>
      <c r="E655" s="184" t="s">
        <v>45</v>
      </c>
      <c r="F655" s="182">
        <v>44968</v>
      </c>
      <c r="G655" s="186" t="s">
        <v>160</v>
      </c>
      <c r="H655" s="184" t="s">
        <v>71</v>
      </c>
      <c r="T655" s="184" t="s">
        <v>122</v>
      </c>
    </row>
    <row r="656" spans="1:20">
      <c r="A656" s="182">
        <v>44886</v>
      </c>
      <c r="B656" s="183">
        <v>0.54451388888888885</v>
      </c>
      <c r="C656" s="184" t="s">
        <v>67</v>
      </c>
      <c r="D656" s="184" t="s">
        <v>68</v>
      </c>
      <c r="E656" s="184" t="s">
        <v>124</v>
      </c>
      <c r="F656" s="182">
        <v>44887</v>
      </c>
      <c r="G656" s="186" t="s">
        <v>99</v>
      </c>
      <c r="H656" s="184" t="s">
        <v>231</v>
      </c>
      <c r="T656" s="184" t="s">
        <v>967</v>
      </c>
    </row>
    <row r="657" spans="1:20">
      <c r="A657" s="182">
        <v>44886</v>
      </c>
      <c r="B657" s="183">
        <v>0.59431712962962957</v>
      </c>
      <c r="C657" s="184" t="s">
        <v>73</v>
      </c>
      <c r="D657" s="184" t="s">
        <v>159</v>
      </c>
      <c r="E657" s="184" t="s">
        <v>19</v>
      </c>
      <c r="F657" s="182">
        <v>44910</v>
      </c>
      <c r="G657" s="186" t="s">
        <v>94</v>
      </c>
      <c r="H657" s="184" t="s">
        <v>215</v>
      </c>
    </row>
    <row r="658" spans="1:20">
      <c r="A658" s="182">
        <v>44889</v>
      </c>
      <c r="B658" s="183">
        <v>0.39583333333333331</v>
      </c>
      <c r="C658" s="184" t="s">
        <v>67</v>
      </c>
      <c r="D658" s="184" t="s">
        <v>68</v>
      </c>
      <c r="E658" s="184" t="s">
        <v>124</v>
      </c>
      <c r="F658" s="182">
        <v>44887</v>
      </c>
      <c r="G658" s="186" t="s">
        <v>99</v>
      </c>
      <c r="H658" s="184" t="s">
        <v>225</v>
      </c>
      <c r="T658" s="184" t="s">
        <v>969</v>
      </c>
    </row>
    <row r="659" spans="1:20">
      <c r="A659" s="182">
        <v>44889</v>
      </c>
      <c r="B659" s="183">
        <v>0.39682870370370371</v>
      </c>
      <c r="C659" s="184" t="s">
        <v>67</v>
      </c>
      <c r="D659" s="184" t="s">
        <v>68</v>
      </c>
      <c r="E659" s="184" t="s">
        <v>124</v>
      </c>
      <c r="F659" s="182">
        <v>44887</v>
      </c>
      <c r="G659" s="186" t="s">
        <v>115</v>
      </c>
      <c r="H659" s="184" t="s">
        <v>272</v>
      </c>
      <c r="T659" s="184" t="s">
        <v>970</v>
      </c>
    </row>
    <row r="660" spans="1:20">
      <c r="A660" s="182">
        <v>44889</v>
      </c>
      <c r="B660" s="183">
        <v>0.43752314814814813</v>
      </c>
      <c r="C660" s="184" t="s">
        <v>67</v>
      </c>
      <c r="D660" s="184" t="s">
        <v>78</v>
      </c>
      <c r="E660" s="184" t="s">
        <v>19</v>
      </c>
      <c r="F660" s="182">
        <v>44910</v>
      </c>
      <c r="G660" s="186" t="s">
        <v>94</v>
      </c>
      <c r="H660" s="184" t="s">
        <v>327</v>
      </c>
    </row>
    <row r="661" spans="1:20">
      <c r="A661" s="182">
        <v>44890</v>
      </c>
      <c r="B661" s="183">
        <v>0.42086805555555556</v>
      </c>
      <c r="C661" s="184" t="s">
        <v>67</v>
      </c>
      <c r="D661" s="184" t="s">
        <v>68</v>
      </c>
      <c r="E661" s="184" t="s">
        <v>96</v>
      </c>
      <c r="F661" s="182">
        <v>44999</v>
      </c>
      <c r="G661" s="186" t="s">
        <v>94</v>
      </c>
      <c r="H661" s="184" t="s">
        <v>182</v>
      </c>
      <c r="T661" s="184" t="s">
        <v>971</v>
      </c>
    </row>
    <row r="662" spans="1:20">
      <c r="A662" s="182">
        <v>44893</v>
      </c>
      <c r="B662" s="183">
        <v>0.4425694444444444</v>
      </c>
      <c r="C662" s="184" t="s">
        <v>67</v>
      </c>
      <c r="D662" s="184" t="s">
        <v>159</v>
      </c>
      <c r="E662" s="184" t="s">
        <v>19</v>
      </c>
      <c r="F662" s="182">
        <v>44910</v>
      </c>
      <c r="G662" s="186" t="s">
        <v>94</v>
      </c>
      <c r="H662" s="184" t="s">
        <v>228</v>
      </c>
    </row>
    <row r="663" spans="1:20">
      <c r="A663" s="182">
        <v>44893</v>
      </c>
      <c r="B663" s="183">
        <v>0.49041666666666667</v>
      </c>
      <c r="C663" s="184" t="s">
        <v>67</v>
      </c>
      <c r="D663" s="184" t="s">
        <v>68</v>
      </c>
      <c r="E663" s="184" t="s">
        <v>19</v>
      </c>
      <c r="F663" s="182">
        <v>44978</v>
      </c>
      <c r="G663" s="186" t="s">
        <v>94</v>
      </c>
      <c r="H663" s="184" t="s">
        <v>103</v>
      </c>
      <c r="T663" s="184" t="s">
        <v>360</v>
      </c>
    </row>
    <row r="664" spans="1:20">
      <c r="A664" s="182">
        <v>44893</v>
      </c>
      <c r="B664" s="183">
        <v>0.61400462962962965</v>
      </c>
      <c r="C664" s="184" t="s">
        <v>73</v>
      </c>
      <c r="D664" s="184" t="s">
        <v>68</v>
      </c>
      <c r="E664" s="184" t="s">
        <v>19</v>
      </c>
      <c r="F664" s="182">
        <v>44978</v>
      </c>
      <c r="G664" s="186" t="s">
        <v>94</v>
      </c>
      <c r="H664" s="184" t="s">
        <v>182</v>
      </c>
      <c r="T664" s="184" t="s">
        <v>972</v>
      </c>
    </row>
    <row r="665" spans="1:20">
      <c r="A665" s="182">
        <v>44893</v>
      </c>
      <c r="B665" s="183">
        <v>0.61531250000000004</v>
      </c>
      <c r="C665" s="184" t="s">
        <v>73</v>
      </c>
      <c r="D665" s="184" t="s">
        <v>68</v>
      </c>
      <c r="E665" s="184" t="s">
        <v>45</v>
      </c>
      <c r="F665" s="182">
        <v>44968</v>
      </c>
      <c r="G665" s="186" t="s">
        <v>94</v>
      </c>
      <c r="H665" s="184" t="s">
        <v>76</v>
      </c>
      <c r="T665" s="184" t="s">
        <v>972</v>
      </c>
    </row>
    <row r="666" spans="1:20">
      <c r="A666" s="182">
        <v>44893</v>
      </c>
      <c r="B666" s="183">
        <v>0.61597222222222225</v>
      </c>
      <c r="C666" s="184" t="s">
        <v>73</v>
      </c>
      <c r="D666" s="184" t="s">
        <v>68</v>
      </c>
      <c r="E666" s="184" t="s">
        <v>96</v>
      </c>
      <c r="F666" s="182">
        <v>44999</v>
      </c>
      <c r="G666" s="186" t="s">
        <v>94</v>
      </c>
      <c r="H666" s="184" t="s">
        <v>117</v>
      </c>
      <c r="T666" s="184" t="s">
        <v>972</v>
      </c>
    </row>
    <row r="667" spans="1:20">
      <c r="A667" s="182">
        <v>44893</v>
      </c>
      <c r="B667" s="183">
        <v>0.64915509259259252</v>
      </c>
      <c r="C667" s="184" t="s">
        <v>67</v>
      </c>
      <c r="D667" s="184" t="s">
        <v>78</v>
      </c>
      <c r="E667" s="184" t="s">
        <v>19</v>
      </c>
      <c r="F667" s="182">
        <v>44910</v>
      </c>
      <c r="G667" s="186" t="s">
        <v>99</v>
      </c>
      <c r="H667" s="184" t="s">
        <v>267</v>
      </c>
    </row>
    <row r="668" spans="1:20">
      <c r="A668" s="182">
        <v>44893</v>
      </c>
      <c r="B668" s="183">
        <v>0.66401620370370373</v>
      </c>
      <c r="C668" s="184" t="s">
        <v>67</v>
      </c>
      <c r="D668" s="184" t="s">
        <v>68</v>
      </c>
      <c r="E668" s="184" t="s">
        <v>19</v>
      </c>
      <c r="F668" s="182">
        <v>44910</v>
      </c>
      <c r="G668" s="186" t="s">
        <v>94</v>
      </c>
      <c r="H668" s="184" t="s">
        <v>237</v>
      </c>
      <c r="T668" s="184" t="s">
        <v>973</v>
      </c>
    </row>
    <row r="669" spans="1:20">
      <c r="A669" s="182">
        <v>44893</v>
      </c>
      <c r="B669" s="183">
        <v>0.66461805555555553</v>
      </c>
      <c r="C669" s="184" t="s">
        <v>67</v>
      </c>
      <c r="D669" s="184" t="s">
        <v>68</v>
      </c>
      <c r="E669" s="184" t="s">
        <v>19</v>
      </c>
      <c r="F669" s="182">
        <v>44978</v>
      </c>
      <c r="G669" s="186" t="s">
        <v>99</v>
      </c>
      <c r="H669" s="184" t="s">
        <v>103</v>
      </c>
      <c r="T669" s="184" t="s">
        <v>973</v>
      </c>
    </row>
    <row r="670" spans="1:20">
      <c r="A670" s="182">
        <v>44896</v>
      </c>
      <c r="B670" s="183">
        <v>0.42322916666666671</v>
      </c>
      <c r="C670" s="184" t="s">
        <v>73</v>
      </c>
      <c r="D670" s="184" t="s">
        <v>68</v>
      </c>
      <c r="E670" s="184" t="s">
        <v>19</v>
      </c>
      <c r="F670" s="182">
        <v>44910</v>
      </c>
      <c r="G670" s="186" t="s">
        <v>99</v>
      </c>
      <c r="H670" s="184" t="s">
        <v>247</v>
      </c>
      <c r="T670" s="184" t="s">
        <v>975</v>
      </c>
    </row>
    <row r="671" spans="1:20">
      <c r="A671" s="182">
        <v>44896</v>
      </c>
      <c r="B671" s="183">
        <v>0.42517361111111113</v>
      </c>
      <c r="C671" s="184" t="s">
        <v>73</v>
      </c>
      <c r="D671" s="184" t="s">
        <v>68</v>
      </c>
      <c r="E671" s="184" t="s">
        <v>19</v>
      </c>
      <c r="F671" s="182">
        <v>44978</v>
      </c>
      <c r="G671" s="186" t="s">
        <v>94</v>
      </c>
      <c r="H671" s="184" t="s">
        <v>182</v>
      </c>
      <c r="T671" s="184" t="s">
        <v>975</v>
      </c>
    </row>
    <row r="672" spans="1:20">
      <c r="A672" s="182">
        <v>44896</v>
      </c>
      <c r="B672" s="183">
        <v>0.45359953703703698</v>
      </c>
      <c r="C672" s="184" t="s">
        <v>73</v>
      </c>
      <c r="D672" s="184" t="s">
        <v>68</v>
      </c>
      <c r="E672" s="184" t="s">
        <v>19</v>
      </c>
      <c r="F672" s="182">
        <v>44978</v>
      </c>
      <c r="G672" s="186" t="s">
        <v>99</v>
      </c>
      <c r="H672" s="184" t="s">
        <v>103</v>
      </c>
      <c r="T672" s="184" t="s">
        <v>976</v>
      </c>
    </row>
    <row r="673" spans="1:20">
      <c r="A673" s="182">
        <v>44896</v>
      </c>
      <c r="B673" s="183">
        <v>0.45462962962962966</v>
      </c>
      <c r="C673" s="184" t="s">
        <v>73</v>
      </c>
      <c r="D673" s="184" t="s">
        <v>68</v>
      </c>
      <c r="E673" s="184" t="s">
        <v>19</v>
      </c>
      <c r="F673" s="182">
        <v>44910</v>
      </c>
      <c r="G673" s="186" t="s">
        <v>94</v>
      </c>
      <c r="H673" s="184" t="s">
        <v>237</v>
      </c>
      <c r="T673" s="184" t="s">
        <v>972</v>
      </c>
    </row>
    <row r="674" spans="1:20">
      <c r="A674" s="182">
        <v>44896</v>
      </c>
      <c r="B674" s="183">
        <v>0.45712962962962966</v>
      </c>
      <c r="C674" s="184" t="s">
        <v>73</v>
      </c>
      <c r="D674" s="184" t="s">
        <v>68</v>
      </c>
      <c r="E674" s="184" t="s">
        <v>19</v>
      </c>
      <c r="F674" s="182">
        <v>44910</v>
      </c>
      <c r="G674" s="186" t="s">
        <v>99</v>
      </c>
      <c r="H674" s="184" t="s">
        <v>247</v>
      </c>
      <c r="T674" s="184" t="s">
        <v>972</v>
      </c>
    </row>
    <row r="675" spans="1:20">
      <c r="A675" s="182">
        <v>44896</v>
      </c>
      <c r="B675" s="183">
        <v>0.45795138888888887</v>
      </c>
      <c r="C675" s="184" t="s">
        <v>73</v>
      </c>
      <c r="D675" s="184" t="s">
        <v>68</v>
      </c>
      <c r="E675" s="184" t="s">
        <v>19</v>
      </c>
      <c r="F675" s="182">
        <v>44978</v>
      </c>
      <c r="G675" s="186" t="s">
        <v>94</v>
      </c>
      <c r="H675" s="184" t="s">
        <v>182</v>
      </c>
      <c r="T675" s="184" t="s">
        <v>972</v>
      </c>
    </row>
    <row r="676" spans="1:20">
      <c r="A676" s="182">
        <v>44897</v>
      </c>
      <c r="B676" s="183">
        <v>0.39054398148148151</v>
      </c>
      <c r="C676" s="184" t="s">
        <v>73</v>
      </c>
      <c r="D676" s="184" t="s">
        <v>91</v>
      </c>
      <c r="E676" s="184" t="s">
        <v>19</v>
      </c>
      <c r="F676" s="182">
        <v>44910</v>
      </c>
      <c r="G676" s="186" t="s">
        <v>70</v>
      </c>
      <c r="H676" s="184" t="s">
        <v>93</v>
      </c>
    </row>
    <row r="677" spans="1:20">
      <c r="A677" s="182">
        <v>44897</v>
      </c>
      <c r="B677" s="183">
        <v>0.40971064814814812</v>
      </c>
      <c r="C677" s="184" t="s">
        <v>73</v>
      </c>
      <c r="D677" s="184" t="s">
        <v>68</v>
      </c>
      <c r="E677" s="184" t="s">
        <v>19</v>
      </c>
      <c r="F677" s="182">
        <v>44910</v>
      </c>
      <c r="G677" s="186" t="s">
        <v>99</v>
      </c>
      <c r="H677" s="184" t="s">
        <v>392</v>
      </c>
      <c r="T677" s="184" t="s">
        <v>898</v>
      </c>
    </row>
    <row r="678" spans="1:20">
      <c r="A678" s="182">
        <v>44900</v>
      </c>
      <c r="B678" s="183">
        <v>0.46781249999999996</v>
      </c>
      <c r="C678" s="184" t="s">
        <v>67</v>
      </c>
      <c r="D678" s="184" t="s">
        <v>68</v>
      </c>
      <c r="E678" s="184" t="s">
        <v>69</v>
      </c>
      <c r="F678" s="182">
        <v>44972</v>
      </c>
      <c r="G678" s="186" t="s">
        <v>75</v>
      </c>
      <c r="H678" s="184" t="s">
        <v>76</v>
      </c>
      <c r="T678" s="184" t="s">
        <v>317</v>
      </c>
    </row>
    <row r="679" spans="1:20">
      <c r="A679" s="182">
        <v>44900</v>
      </c>
      <c r="B679" s="183">
        <v>0.63460648148148147</v>
      </c>
      <c r="C679" s="184" t="s">
        <v>67</v>
      </c>
      <c r="D679" s="184" t="s">
        <v>159</v>
      </c>
      <c r="E679" s="184" t="s">
        <v>19</v>
      </c>
      <c r="F679" s="182">
        <v>44910</v>
      </c>
      <c r="G679" s="186" t="s">
        <v>99</v>
      </c>
      <c r="H679" s="184" t="s">
        <v>215</v>
      </c>
    </row>
    <row r="680" spans="1:20">
      <c r="A680" s="182">
        <v>44901</v>
      </c>
      <c r="B680" s="183">
        <v>0.4914930555555555</v>
      </c>
      <c r="C680" s="184" t="s">
        <v>67</v>
      </c>
      <c r="D680" s="184" t="s">
        <v>68</v>
      </c>
      <c r="E680" s="184" t="s">
        <v>19</v>
      </c>
      <c r="F680" s="182">
        <v>44978</v>
      </c>
      <c r="G680" s="186" t="s">
        <v>94</v>
      </c>
      <c r="H680" s="184" t="s">
        <v>117</v>
      </c>
      <c r="T680" s="184" t="s">
        <v>977</v>
      </c>
    </row>
    <row r="681" spans="1:20">
      <c r="A681" s="182">
        <v>44904</v>
      </c>
      <c r="B681" s="183">
        <v>0.52828703703703705</v>
      </c>
      <c r="C681" s="184" t="s">
        <v>73</v>
      </c>
      <c r="D681" s="184" t="s">
        <v>159</v>
      </c>
      <c r="E681" s="184" t="s">
        <v>19</v>
      </c>
      <c r="F681" s="182">
        <v>44910</v>
      </c>
      <c r="G681" s="186" t="s">
        <v>114</v>
      </c>
      <c r="H681" s="184" t="s">
        <v>248</v>
      </c>
    </row>
    <row r="682" spans="1:20">
      <c r="A682" s="182">
        <v>44904</v>
      </c>
      <c r="B682" s="183">
        <v>0.6265856481481481</v>
      </c>
      <c r="C682" s="184" t="s">
        <v>73</v>
      </c>
      <c r="D682" s="184" t="s">
        <v>68</v>
      </c>
      <c r="E682" s="184" t="s">
        <v>19</v>
      </c>
      <c r="F682" s="182">
        <v>44978</v>
      </c>
      <c r="G682" s="186" t="s">
        <v>112</v>
      </c>
      <c r="H682" s="184" t="s">
        <v>261</v>
      </c>
      <c r="T682" s="184" t="s">
        <v>329</v>
      </c>
    </row>
    <row r="683" spans="1:20">
      <c r="A683" s="182">
        <v>44907</v>
      </c>
      <c r="B683" s="183">
        <v>0.57471064814814821</v>
      </c>
      <c r="C683" s="184" t="s">
        <v>67</v>
      </c>
      <c r="D683" s="184" t="s">
        <v>68</v>
      </c>
      <c r="E683" s="184" t="s">
        <v>19</v>
      </c>
      <c r="F683" s="182">
        <v>44910</v>
      </c>
      <c r="G683" s="186" t="s">
        <v>99</v>
      </c>
      <c r="H683" s="184" t="s">
        <v>521</v>
      </c>
      <c r="T683" s="184" t="s">
        <v>979</v>
      </c>
    </row>
    <row r="684" spans="1:20">
      <c r="A684" s="182">
        <v>44907</v>
      </c>
      <c r="B684" s="183">
        <v>0.57508101851851856</v>
      </c>
      <c r="C684" s="184" t="s">
        <v>67</v>
      </c>
      <c r="D684" s="184" t="s">
        <v>68</v>
      </c>
      <c r="E684" s="184" t="s">
        <v>19</v>
      </c>
      <c r="F684" s="182">
        <v>44978</v>
      </c>
      <c r="G684" s="186" t="s">
        <v>94</v>
      </c>
      <c r="H684" s="184" t="s">
        <v>260</v>
      </c>
      <c r="T684" s="184" t="s">
        <v>980</v>
      </c>
    </row>
    <row r="685" spans="1:20">
      <c r="A685" s="182">
        <v>44909</v>
      </c>
      <c r="B685" s="183">
        <v>0.38210648148148146</v>
      </c>
      <c r="C685" s="184" t="s">
        <v>73</v>
      </c>
      <c r="D685" s="184" t="s">
        <v>78</v>
      </c>
      <c r="E685" s="184" t="s">
        <v>45</v>
      </c>
      <c r="F685" s="182">
        <v>44968</v>
      </c>
      <c r="G685" s="186" t="s">
        <v>94</v>
      </c>
      <c r="H685" s="184" t="s">
        <v>106</v>
      </c>
    </row>
    <row r="686" spans="1:20">
      <c r="A686" s="182">
        <v>44909</v>
      </c>
      <c r="B686" s="183">
        <v>0.38225694444444441</v>
      </c>
      <c r="C686" s="184" t="s">
        <v>73</v>
      </c>
      <c r="D686" s="184" t="s">
        <v>78</v>
      </c>
      <c r="E686" s="184" t="s">
        <v>19</v>
      </c>
      <c r="F686" s="182">
        <v>44978</v>
      </c>
      <c r="G686" s="186" t="s">
        <v>70</v>
      </c>
      <c r="H686" s="184" t="s">
        <v>86</v>
      </c>
    </row>
    <row r="687" spans="1:20">
      <c r="A687" s="182">
        <v>44909</v>
      </c>
      <c r="B687" s="183">
        <v>0.38244212962962965</v>
      </c>
      <c r="C687" s="184" t="s">
        <v>73</v>
      </c>
      <c r="D687" s="184" t="s">
        <v>78</v>
      </c>
      <c r="E687" s="184" t="s">
        <v>96</v>
      </c>
      <c r="F687" s="182">
        <v>44999</v>
      </c>
      <c r="G687" s="186" t="s">
        <v>94</v>
      </c>
      <c r="H687" s="184" t="s">
        <v>106</v>
      </c>
    </row>
    <row r="688" spans="1:20">
      <c r="A688" s="182">
        <v>44911</v>
      </c>
      <c r="B688" s="183">
        <v>0.41829861111111111</v>
      </c>
      <c r="C688" s="184" t="s">
        <v>73</v>
      </c>
      <c r="D688" s="184" t="s">
        <v>68</v>
      </c>
      <c r="E688" s="184" t="s">
        <v>19</v>
      </c>
      <c r="F688" s="182">
        <v>44978</v>
      </c>
      <c r="G688" s="186" t="s">
        <v>94</v>
      </c>
      <c r="H688" s="184" t="s">
        <v>256</v>
      </c>
      <c r="T688" s="184" t="s">
        <v>981</v>
      </c>
    </row>
    <row r="689" spans="1:20">
      <c r="A689" s="182">
        <v>44914</v>
      </c>
      <c r="B689" s="183">
        <v>0.66565972222222225</v>
      </c>
      <c r="C689" s="184" t="s">
        <v>67</v>
      </c>
      <c r="D689" s="184" t="s">
        <v>91</v>
      </c>
      <c r="E689" s="184" t="s">
        <v>19</v>
      </c>
      <c r="F689" s="182">
        <v>44978</v>
      </c>
      <c r="G689" s="186" t="s">
        <v>982</v>
      </c>
      <c r="H689" s="184" t="s">
        <v>93</v>
      </c>
    </row>
    <row r="690" spans="1:20">
      <c r="A690" s="182">
        <v>44918</v>
      </c>
      <c r="B690" s="183">
        <v>0.48656250000000001</v>
      </c>
      <c r="C690" s="184" t="s">
        <v>67</v>
      </c>
      <c r="D690" s="184" t="s">
        <v>68</v>
      </c>
      <c r="E690" s="184" t="s">
        <v>19</v>
      </c>
      <c r="F690" s="182">
        <v>44978</v>
      </c>
      <c r="G690" s="186" t="s">
        <v>114</v>
      </c>
      <c r="H690" s="184" t="s">
        <v>322</v>
      </c>
      <c r="T690" s="184" t="s">
        <v>582</v>
      </c>
    </row>
    <row r="691" spans="1:20">
      <c r="A691" s="182">
        <v>44922</v>
      </c>
      <c r="B691" s="183">
        <v>0.65902777777777777</v>
      </c>
      <c r="C691" s="184" t="s">
        <v>67</v>
      </c>
      <c r="D691" s="184" t="s">
        <v>68</v>
      </c>
      <c r="E691" s="184" t="s">
        <v>96</v>
      </c>
      <c r="F691" s="182">
        <v>44999</v>
      </c>
      <c r="G691" s="186" t="s">
        <v>94</v>
      </c>
      <c r="H691" s="184" t="s">
        <v>259</v>
      </c>
      <c r="T691" s="184" t="s">
        <v>605</v>
      </c>
    </row>
    <row r="692" spans="1:20">
      <c r="A692" s="182">
        <v>44931</v>
      </c>
      <c r="B692" s="183">
        <v>0.44662037037037039</v>
      </c>
      <c r="C692" s="184" t="s">
        <v>73</v>
      </c>
      <c r="D692" s="184" t="s">
        <v>68</v>
      </c>
      <c r="E692" s="184" t="s">
        <v>96</v>
      </c>
      <c r="F692" s="182">
        <v>44999</v>
      </c>
      <c r="G692" s="186" t="s">
        <v>114</v>
      </c>
      <c r="H692" s="184" t="s">
        <v>261</v>
      </c>
      <c r="T692" s="184" t="s">
        <v>983</v>
      </c>
    </row>
    <row r="693" spans="1:20">
      <c r="A693" s="182">
        <v>44931</v>
      </c>
      <c r="B693" s="183">
        <v>0.60986111111111108</v>
      </c>
      <c r="C693" s="184" t="s">
        <v>73</v>
      </c>
      <c r="D693" s="184" t="s">
        <v>159</v>
      </c>
      <c r="E693" s="184" t="s">
        <v>19</v>
      </c>
      <c r="F693" s="182">
        <v>44978</v>
      </c>
      <c r="G693" s="186" t="s">
        <v>94</v>
      </c>
      <c r="H693" s="184" t="s">
        <v>215</v>
      </c>
    </row>
    <row r="694" spans="1:20">
      <c r="A694" s="182">
        <v>44932</v>
      </c>
      <c r="B694" s="183">
        <v>0.60605324074074074</v>
      </c>
      <c r="C694" s="184" t="s">
        <v>67</v>
      </c>
      <c r="D694" s="184" t="s">
        <v>78</v>
      </c>
      <c r="E694" s="184" t="s">
        <v>45</v>
      </c>
      <c r="F694" s="182">
        <v>44968</v>
      </c>
      <c r="G694" s="186" t="s">
        <v>114</v>
      </c>
      <c r="H694" s="184" t="s">
        <v>265</v>
      </c>
    </row>
    <row r="695" spans="1:20">
      <c r="A695" s="182">
        <v>44932</v>
      </c>
      <c r="B695" s="183">
        <v>0.60640046296296302</v>
      </c>
      <c r="C695" s="184" t="s">
        <v>67</v>
      </c>
      <c r="D695" s="184" t="s">
        <v>78</v>
      </c>
      <c r="E695" s="184" t="s">
        <v>19</v>
      </c>
      <c r="F695" s="182">
        <v>44978</v>
      </c>
      <c r="G695" s="186" t="s">
        <v>94</v>
      </c>
      <c r="H695" s="184" t="s">
        <v>107</v>
      </c>
    </row>
    <row r="696" spans="1:20">
      <c r="A696" s="182">
        <v>44936</v>
      </c>
      <c r="B696" s="183">
        <v>0.38827546296296295</v>
      </c>
      <c r="C696" s="184" t="s">
        <v>67</v>
      </c>
      <c r="D696" s="184" t="s">
        <v>68</v>
      </c>
      <c r="E696" s="184" t="s">
        <v>19</v>
      </c>
      <c r="F696" s="182">
        <v>44978</v>
      </c>
      <c r="G696" s="186" t="s">
        <v>99</v>
      </c>
      <c r="H696" s="184" t="s">
        <v>305</v>
      </c>
      <c r="T696" s="184" t="s">
        <v>945</v>
      </c>
    </row>
    <row r="697" spans="1:20">
      <c r="A697" s="182">
        <v>44936</v>
      </c>
      <c r="B697" s="183">
        <v>0.3986574074074074</v>
      </c>
      <c r="C697" s="184" t="s">
        <v>67</v>
      </c>
      <c r="D697" s="184" t="s">
        <v>91</v>
      </c>
      <c r="E697" s="184" t="s">
        <v>19</v>
      </c>
      <c r="F697" s="182">
        <v>44978</v>
      </c>
      <c r="G697" s="186" t="s">
        <v>114</v>
      </c>
      <c r="H697" s="184" t="s">
        <v>227</v>
      </c>
    </row>
    <row r="698" spans="1:20">
      <c r="A698" s="182">
        <v>44937</v>
      </c>
      <c r="B698" s="183">
        <v>0.43471064814814814</v>
      </c>
      <c r="C698" s="184" t="s">
        <v>67</v>
      </c>
      <c r="D698" s="184" t="s">
        <v>91</v>
      </c>
      <c r="E698" s="184" t="s">
        <v>96</v>
      </c>
      <c r="F698" s="182">
        <v>44999</v>
      </c>
      <c r="G698" s="186" t="s">
        <v>94</v>
      </c>
      <c r="H698" s="184" t="s">
        <v>92</v>
      </c>
    </row>
    <row r="699" spans="1:20">
      <c r="A699" s="182">
        <v>44937</v>
      </c>
      <c r="B699" s="183">
        <v>0.63290509259259264</v>
      </c>
      <c r="C699" s="184" t="s">
        <v>67</v>
      </c>
      <c r="D699" s="184" t="s">
        <v>68</v>
      </c>
      <c r="E699" s="184" t="s">
        <v>45</v>
      </c>
      <c r="F699" s="182">
        <v>44968</v>
      </c>
      <c r="G699" s="186" t="s">
        <v>94</v>
      </c>
      <c r="H699" s="184" t="s">
        <v>87</v>
      </c>
      <c r="T699" s="184" t="s">
        <v>249</v>
      </c>
    </row>
    <row r="700" spans="1:20">
      <c r="A700" s="182">
        <v>44939</v>
      </c>
      <c r="B700" s="183">
        <v>0.39373842592592595</v>
      </c>
      <c r="C700" s="184" t="s">
        <v>73</v>
      </c>
      <c r="D700" s="184" t="s">
        <v>68</v>
      </c>
      <c r="E700" s="184" t="s">
        <v>69</v>
      </c>
      <c r="F700" s="182">
        <v>44972</v>
      </c>
      <c r="G700" s="186" t="s">
        <v>94</v>
      </c>
      <c r="H700" s="184" t="s">
        <v>87</v>
      </c>
      <c r="T700" s="184" t="s">
        <v>989</v>
      </c>
    </row>
    <row r="701" spans="1:20">
      <c r="A701" s="182">
        <v>44939</v>
      </c>
      <c r="B701" s="183">
        <v>0.57783564814814814</v>
      </c>
      <c r="C701" s="184" t="s">
        <v>73</v>
      </c>
      <c r="D701" s="184" t="s">
        <v>68</v>
      </c>
      <c r="E701" s="184" t="s">
        <v>96</v>
      </c>
      <c r="F701" s="182">
        <v>44999</v>
      </c>
      <c r="G701" s="186" t="s">
        <v>114</v>
      </c>
      <c r="H701" s="184" t="s">
        <v>256</v>
      </c>
      <c r="T701" s="184" t="s">
        <v>990</v>
      </c>
    </row>
    <row r="702" spans="1:20">
      <c r="A702" s="182">
        <v>44942</v>
      </c>
      <c r="B702" s="183">
        <v>0.4201388888888889</v>
      </c>
      <c r="C702" s="184" t="s">
        <v>67</v>
      </c>
      <c r="D702" s="184" t="s">
        <v>68</v>
      </c>
      <c r="E702" s="184" t="s">
        <v>45</v>
      </c>
      <c r="F702" s="182">
        <v>44968</v>
      </c>
      <c r="G702" s="186" t="s">
        <v>94</v>
      </c>
      <c r="H702" s="184" t="s">
        <v>101</v>
      </c>
      <c r="T702" s="184" t="s">
        <v>948</v>
      </c>
    </row>
    <row r="703" spans="1:20">
      <c r="A703" s="182">
        <v>44942</v>
      </c>
      <c r="B703" s="183">
        <v>0.42074074074074069</v>
      </c>
      <c r="C703" s="184" t="s">
        <v>67</v>
      </c>
      <c r="D703" s="184" t="s">
        <v>68</v>
      </c>
      <c r="E703" s="184" t="s">
        <v>19</v>
      </c>
      <c r="F703" s="182">
        <v>44978</v>
      </c>
      <c r="G703" s="186" t="s">
        <v>94</v>
      </c>
      <c r="H703" s="184" t="s">
        <v>322</v>
      </c>
      <c r="T703" s="184" t="s">
        <v>948</v>
      </c>
    </row>
    <row r="704" spans="1:20">
      <c r="A704" s="182">
        <v>44942</v>
      </c>
      <c r="B704" s="183">
        <v>0.51731481481481478</v>
      </c>
      <c r="C704" s="184" t="s">
        <v>67</v>
      </c>
      <c r="D704" s="184" t="s">
        <v>68</v>
      </c>
      <c r="E704" s="184" t="s">
        <v>96</v>
      </c>
      <c r="F704" s="182">
        <v>44999</v>
      </c>
      <c r="G704" s="186" t="s">
        <v>94</v>
      </c>
      <c r="H704" s="184" t="s">
        <v>305</v>
      </c>
      <c r="T704" s="184" t="s">
        <v>991</v>
      </c>
    </row>
    <row r="705" spans="1:20">
      <c r="A705" s="182">
        <v>44943</v>
      </c>
      <c r="B705" s="183">
        <v>0.47113425925925928</v>
      </c>
      <c r="C705" s="184" t="s">
        <v>67</v>
      </c>
      <c r="D705" s="184" t="s">
        <v>68</v>
      </c>
      <c r="E705" s="184" t="s">
        <v>19</v>
      </c>
      <c r="F705" s="182">
        <v>44978</v>
      </c>
      <c r="G705" s="186" t="s">
        <v>94</v>
      </c>
      <c r="H705" s="184" t="s">
        <v>185</v>
      </c>
      <c r="T705" s="184" t="s">
        <v>286</v>
      </c>
    </row>
    <row r="706" spans="1:20">
      <c r="A706" s="182">
        <v>44944</v>
      </c>
      <c r="B706" s="183">
        <v>0.49655092592592592</v>
      </c>
      <c r="C706" s="184" t="s">
        <v>73</v>
      </c>
      <c r="D706" s="184" t="s">
        <v>68</v>
      </c>
      <c r="E706" s="184" t="s">
        <v>19</v>
      </c>
      <c r="F706" s="182">
        <v>44978</v>
      </c>
      <c r="G706" s="186" t="s">
        <v>553</v>
      </c>
      <c r="H706" s="184" t="s">
        <v>209</v>
      </c>
      <c r="T706" s="184" t="s">
        <v>992</v>
      </c>
    </row>
    <row r="707" spans="1:20">
      <c r="A707" s="182">
        <v>44945</v>
      </c>
      <c r="B707" s="183">
        <v>0.45133101851851848</v>
      </c>
      <c r="C707" s="184" t="s">
        <v>67</v>
      </c>
      <c r="D707" s="184" t="s">
        <v>68</v>
      </c>
      <c r="E707" s="184" t="s">
        <v>19</v>
      </c>
      <c r="F707" s="182">
        <v>44978</v>
      </c>
      <c r="G707" s="186" t="s">
        <v>99</v>
      </c>
      <c r="H707" s="184" t="s">
        <v>206</v>
      </c>
      <c r="T707" s="184" t="s">
        <v>993</v>
      </c>
    </row>
    <row r="708" spans="1:20">
      <c r="A708" s="182">
        <v>44945</v>
      </c>
      <c r="B708" s="183">
        <v>0.48178240740740735</v>
      </c>
      <c r="C708" s="184" t="s">
        <v>67</v>
      </c>
      <c r="D708" s="184" t="s">
        <v>68</v>
      </c>
      <c r="E708" s="184" t="s">
        <v>96</v>
      </c>
      <c r="F708" s="182">
        <v>44999</v>
      </c>
      <c r="G708" s="186" t="s">
        <v>381</v>
      </c>
      <c r="H708" s="184" t="s">
        <v>272</v>
      </c>
      <c r="T708" s="184" t="s">
        <v>994</v>
      </c>
    </row>
    <row r="709" spans="1:20">
      <c r="A709" s="182">
        <v>44945</v>
      </c>
      <c r="B709" s="183">
        <v>0.71458333333333324</v>
      </c>
      <c r="C709" s="184" t="s">
        <v>67</v>
      </c>
      <c r="D709" s="184" t="s">
        <v>91</v>
      </c>
      <c r="E709" s="184" t="s">
        <v>19</v>
      </c>
      <c r="F709" s="182">
        <v>44978</v>
      </c>
      <c r="G709" s="186" t="s">
        <v>99</v>
      </c>
      <c r="H709" s="184" t="s">
        <v>92</v>
      </c>
    </row>
    <row r="710" spans="1:20">
      <c r="A710" s="182">
        <v>44946</v>
      </c>
      <c r="B710" s="183">
        <v>0.53289351851851852</v>
      </c>
      <c r="C710" s="184" t="s">
        <v>73</v>
      </c>
      <c r="D710" s="184" t="s">
        <v>68</v>
      </c>
      <c r="E710" s="184" t="s">
        <v>96</v>
      </c>
      <c r="F710" s="182">
        <v>44999</v>
      </c>
      <c r="G710" s="186" t="s">
        <v>94</v>
      </c>
      <c r="H710" s="184" t="s">
        <v>213</v>
      </c>
      <c r="T710" s="184" t="s">
        <v>995</v>
      </c>
    </row>
    <row r="711" spans="1:20">
      <c r="A711" s="182">
        <v>44946</v>
      </c>
      <c r="B711" s="183">
        <v>0.55496527777777771</v>
      </c>
      <c r="C711" s="184" t="s">
        <v>73</v>
      </c>
      <c r="D711" s="184" t="s">
        <v>159</v>
      </c>
      <c r="E711" s="184" t="s">
        <v>19</v>
      </c>
      <c r="F711" s="182">
        <v>44978</v>
      </c>
      <c r="G711" s="186" t="s">
        <v>94</v>
      </c>
      <c r="H711" s="184" t="s">
        <v>228</v>
      </c>
      <c r="I711" s="184" t="s">
        <v>996</v>
      </c>
    </row>
    <row r="712" spans="1:20">
      <c r="A712" s="182">
        <v>44949</v>
      </c>
      <c r="B712" s="183">
        <v>0.40653935185185186</v>
      </c>
      <c r="C712" s="184" t="s">
        <v>73</v>
      </c>
      <c r="D712" s="184" t="s">
        <v>68</v>
      </c>
      <c r="E712" s="184" t="s">
        <v>96</v>
      </c>
      <c r="F712" s="182">
        <v>44999</v>
      </c>
      <c r="G712" s="186" t="s">
        <v>99</v>
      </c>
      <c r="H712" s="184" t="s">
        <v>272</v>
      </c>
      <c r="T712" s="184" t="s">
        <v>605</v>
      </c>
    </row>
    <row r="713" spans="1:20">
      <c r="A713" s="182">
        <v>44952</v>
      </c>
      <c r="B713" s="183">
        <v>0.41986111111111107</v>
      </c>
      <c r="C713" s="184" t="s">
        <v>67</v>
      </c>
      <c r="D713" s="184" t="s">
        <v>68</v>
      </c>
      <c r="E713" s="184" t="s">
        <v>96</v>
      </c>
      <c r="F713" s="182">
        <v>44999</v>
      </c>
      <c r="G713" s="186" t="s">
        <v>94</v>
      </c>
      <c r="H713" s="184" t="s">
        <v>213</v>
      </c>
      <c r="T713" s="184" t="s">
        <v>109</v>
      </c>
    </row>
    <row r="714" spans="1:20">
      <c r="A714" s="182">
        <v>44952</v>
      </c>
      <c r="B714" s="183">
        <v>0.562962962962963</v>
      </c>
      <c r="C714" s="184" t="s">
        <v>67</v>
      </c>
      <c r="D714" s="184" t="s">
        <v>68</v>
      </c>
      <c r="E714" s="184" t="s">
        <v>45</v>
      </c>
      <c r="F714" s="182">
        <v>44968</v>
      </c>
      <c r="G714" s="186" t="s">
        <v>94</v>
      </c>
      <c r="H714" s="184" t="s">
        <v>103</v>
      </c>
      <c r="T714" s="184" t="s">
        <v>997</v>
      </c>
    </row>
    <row r="715" spans="1:20">
      <c r="A715" s="182">
        <v>44952</v>
      </c>
      <c r="B715" s="183">
        <v>0.58861111111111108</v>
      </c>
      <c r="C715" s="184" t="s">
        <v>67</v>
      </c>
      <c r="D715" s="184" t="s">
        <v>159</v>
      </c>
      <c r="E715" s="184" t="s">
        <v>96</v>
      </c>
      <c r="F715" s="182">
        <v>44999</v>
      </c>
      <c r="G715" s="186" t="s">
        <v>70</v>
      </c>
      <c r="H715" s="184" t="s">
        <v>216</v>
      </c>
    </row>
    <row r="716" spans="1:20">
      <c r="A716" s="182">
        <v>44952</v>
      </c>
      <c r="B716" s="183">
        <v>0.62793981481481487</v>
      </c>
      <c r="C716" s="184" t="s">
        <v>67</v>
      </c>
      <c r="D716" s="184" t="s">
        <v>91</v>
      </c>
      <c r="E716" s="184" t="s">
        <v>96</v>
      </c>
      <c r="F716" s="182">
        <v>44999</v>
      </c>
      <c r="G716" s="186" t="s">
        <v>94</v>
      </c>
      <c r="H716" s="184" t="s">
        <v>227</v>
      </c>
    </row>
    <row r="717" spans="1:20">
      <c r="A717" s="182">
        <v>44952</v>
      </c>
      <c r="B717" s="183">
        <v>0.70890046296296294</v>
      </c>
      <c r="C717" s="184" t="s">
        <v>67</v>
      </c>
      <c r="D717" s="184" t="s">
        <v>91</v>
      </c>
      <c r="E717" s="184" t="s">
        <v>96</v>
      </c>
      <c r="F717" s="182">
        <v>44999</v>
      </c>
      <c r="G717" s="186" t="s">
        <v>114</v>
      </c>
      <c r="H717" s="184" t="s">
        <v>120</v>
      </c>
    </row>
    <row r="718" spans="1:20">
      <c r="A718" s="182">
        <v>44953</v>
      </c>
      <c r="B718" s="183">
        <v>0.49482638888888886</v>
      </c>
      <c r="C718" s="184" t="s">
        <v>67</v>
      </c>
      <c r="D718" s="184" t="s">
        <v>68</v>
      </c>
      <c r="E718" s="184" t="s">
        <v>19</v>
      </c>
      <c r="F718" s="182">
        <v>44978</v>
      </c>
      <c r="G718" s="186" t="s">
        <v>94</v>
      </c>
      <c r="H718" s="184" t="s">
        <v>209</v>
      </c>
      <c r="T718" s="184" t="s">
        <v>998</v>
      </c>
    </row>
    <row r="719" spans="1:20">
      <c r="A719" s="182">
        <v>44953</v>
      </c>
      <c r="B719" s="183">
        <v>0.58310185185185182</v>
      </c>
      <c r="C719" s="184" t="s">
        <v>67</v>
      </c>
      <c r="D719" s="184" t="s">
        <v>91</v>
      </c>
      <c r="E719" s="184" t="s">
        <v>69</v>
      </c>
      <c r="F719" s="182">
        <v>44972</v>
      </c>
      <c r="G719" s="186" t="s">
        <v>94</v>
      </c>
      <c r="H719" s="184" t="s">
        <v>92</v>
      </c>
    </row>
    <row r="720" spans="1:20">
      <c r="A720" s="182">
        <v>44956</v>
      </c>
      <c r="B720" s="183">
        <v>0.65605324074074078</v>
      </c>
      <c r="C720" s="184" t="s">
        <v>73</v>
      </c>
      <c r="D720" s="184" t="s">
        <v>78</v>
      </c>
      <c r="E720" s="184" t="s">
        <v>45</v>
      </c>
      <c r="F720" s="182">
        <v>44968</v>
      </c>
      <c r="G720" s="186" t="s">
        <v>264</v>
      </c>
      <c r="H720" s="184" t="s">
        <v>98</v>
      </c>
    </row>
    <row r="721" spans="1:20">
      <c r="A721" s="182">
        <v>44956</v>
      </c>
      <c r="B721" s="183">
        <v>0.65686342592592595</v>
      </c>
      <c r="C721" s="184" t="s">
        <v>73</v>
      </c>
      <c r="D721" s="184" t="s">
        <v>78</v>
      </c>
      <c r="E721" s="184" t="s">
        <v>96</v>
      </c>
      <c r="F721" s="182">
        <v>44999</v>
      </c>
      <c r="G721" s="186" t="s">
        <v>94</v>
      </c>
      <c r="H721" s="184" t="s">
        <v>113</v>
      </c>
    </row>
    <row r="722" spans="1:20">
      <c r="A722" s="182">
        <v>44958</v>
      </c>
      <c r="B722" s="183">
        <v>0.37876157407407413</v>
      </c>
      <c r="C722" s="184" t="s">
        <v>67</v>
      </c>
      <c r="D722" s="184" t="s">
        <v>68</v>
      </c>
      <c r="E722" s="184" t="s">
        <v>96</v>
      </c>
      <c r="F722" s="182">
        <v>44999</v>
      </c>
      <c r="G722" s="186" t="s">
        <v>94</v>
      </c>
      <c r="H722" s="184" t="s">
        <v>225</v>
      </c>
      <c r="T722" s="184" t="s">
        <v>317</v>
      </c>
    </row>
    <row r="723" spans="1:20">
      <c r="A723" s="182">
        <v>44958</v>
      </c>
      <c r="B723" s="183">
        <v>0.48171296296296301</v>
      </c>
      <c r="C723" s="184" t="s">
        <v>67</v>
      </c>
      <c r="D723" s="184" t="s">
        <v>91</v>
      </c>
      <c r="E723" s="184" t="s">
        <v>96</v>
      </c>
      <c r="F723" s="182">
        <v>44999</v>
      </c>
      <c r="G723" s="186" t="s">
        <v>94</v>
      </c>
      <c r="H723" s="184" t="s">
        <v>229</v>
      </c>
    </row>
    <row r="724" spans="1:20">
      <c r="A724" s="182">
        <v>44963</v>
      </c>
      <c r="B724" s="183">
        <v>0.4224074074074074</v>
      </c>
      <c r="C724" s="184" t="s">
        <v>73</v>
      </c>
      <c r="D724" s="184" t="s">
        <v>68</v>
      </c>
      <c r="E724" s="184" t="s">
        <v>19</v>
      </c>
      <c r="F724" s="182">
        <v>44978</v>
      </c>
      <c r="G724" s="186" t="s">
        <v>94</v>
      </c>
      <c r="H724" s="184" t="s">
        <v>272</v>
      </c>
      <c r="T724" s="184" t="s">
        <v>1002</v>
      </c>
    </row>
    <row r="725" spans="1:20">
      <c r="A725" s="182">
        <v>44964</v>
      </c>
      <c r="B725" s="183">
        <v>0.67173611111111109</v>
      </c>
      <c r="C725" s="184" t="s">
        <v>73</v>
      </c>
      <c r="D725" s="184" t="s">
        <v>159</v>
      </c>
      <c r="E725" s="184" t="s">
        <v>19</v>
      </c>
      <c r="F725" s="182">
        <v>44978</v>
      </c>
      <c r="G725" s="186" t="s">
        <v>99</v>
      </c>
      <c r="H725" s="184" t="s">
        <v>215</v>
      </c>
      <c r="I725" s="184" t="s">
        <v>1003</v>
      </c>
    </row>
    <row r="726" spans="1:20">
      <c r="A726" s="182">
        <v>44965</v>
      </c>
      <c r="B726" s="183">
        <v>0.38527777777777777</v>
      </c>
      <c r="C726" s="184" t="s">
        <v>67</v>
      </c>
      <c r="D726" s="184" t="s">
        <v>91</v>
      </c>
      <c r="E726" s="184" t="s">
        <v>96</v>
      </c>
      <c r="F726" s="182">
        <v>44999</v>
      </c>
      <c r="G726" s="186" t="s">
        <v>94</v>
      </c>
      <c r="H726" s="184" t="s">
        <v>189</v>
      </c>
    </row>
    <row r="727" spans="1:20">
      <c r="A727" s="182">
        <v>44965</v>
      </c>
      <c r="B727" s="183">
        <v>0.39293981481481483</v>
      </c>
      <c r="C727" s="184" t="s">
        <v>67</v>
      </c>
      <c r="D727" s="184" t="s">
        <v>68</v>
      </c>
      <c r="E727" s="184" t="s">
        <v>96</v>
      </c>
      <c r="F727" s="182">
        <v>44999</v>
      </c>
      <c r="G727" s="186" t="s">
        <v>94</v>
      </c>
      <c r="H727" s="184" t="s">
        <v>231</v>
      </c>
      <c r="T727" s="184" t="s">
        <v>97</v>
      </c>
    </row>
    <row r="728" spans="1:20">
      <c r="A728" s="182">
        <v>44965</v>
      </c>
      <c r="B728" s="183">
        <v>0.62564814814814818</v>
      </c>
      <c r="C728" s="184" t="s">
        <v>67</v>
      </c>
      <c r="D728" s="184" t="s">
        <v>68</v>
      </c>
      <c r="E728" s="184" t="s">
        <v>96</v>
      </c>
      <c r="F728" s="182">
        <v>44999</v>
      </c>
      <c r="G728" s="186" t="s">
        <v>94</v>
      </c>
      <c r="H728" s="184" t="s">
        <v>239</v>
      </c>
      <c r="T728" s="184" t="s">
        <v>409</v>
      </c>
    </row>
    <row r="729" spans="1:20">
      <c r="A729" s="182">
        <v>44965</v>
      </c>
      <c r="B729" s="183">
        <v>0.62905092592592593</v>
      </c>
      <c r="C729" s="184" t="s">
        <v>67</v>
      </c>
      <c r="D729" s="184" t="s">
        <v>68</v>
      </c>
      <c r="E729" s="184" t="s">
        <v>19</v>
      </c>
      <c r="F729" s="182">
        <v>44978</v>
      </c>
      <c r="G729" s="186" t="s">
        <v>94</v>
      </c>
      <c r="H729" s="184" t="s">
        <v>213</v>
      </c>
      <c r="T729" s="184" t="s">
        <v>409</v>
      </c>
    </row>
    <row r="730" spans="1:20">
      <c r="A730" s="182">
        <v>44965</v>
      </c>
      <c r="B730" s="183">
        <v>0.62969907407407411</v>
      </c>
      <c r="C730" s="184" t="s">
        <v>67</v>
      </c>
      <c r="D730" s="184" t="s">
        <v>68</v>
      </c>
      <c r="E730" s="184" t="s">
        <v>96</v>
      </c>
      <c r="F730" s="182">
        <v>44999</v>
      </c>
      <c r="G730" s="186" t="s">
        <v>94</v>
      </c>
      <c r="H730" s="184" t="s">
        <v>241</v>
      </c>
      <c r="T730" s="184" t="s">
        <v>407</v>
      </c>
    </row>
    <row r="731" spans="1:20">
      <c r="A731" s="182">
        <v>44965</v>
      </c>
      <c r="B731" s="183">
        <v>0.67207175925925933</v>
      </c>
      <c r="C731" s="184" t="s">
        <v>67</v>
      </c>
      <c r="D731" s="184" t="s">
        <v>68</v>
      </c>
      <c r="E731" s="184" t="s">
        <v>19</v>
      </c>
      <c r="F731" s="182">
        <v>44978</v>
      </c>
      <c r="G731" s="186" t="s">
        <v>94</v>
      </c>
      <c r="H731" s="184" t="s">
        <v>225</v>
      </c>
      <c r="T731" s="184" t="s">
        <v>161</v>
      </c>
    </row>
    <row r="732" spans="1:20">
      <c r="A732" s="182">
        <v>44967</v>
      </c>
      <c r="B732" s="183">
        <v>0.47658564814814813</v>
      </c>
      <c r="C732" s="184" t="s">
        <v>73</v>
      </c>
      <c r="D732" s="184" t="s">
        <v>91</v>
      </c>
      <c r="E732" s="184" t="s">
        <v>96</v>
      </c>
      <c r="F732" s="182">
        <v>44999</v>
      </c>
      <c r="G732" s="186" t="s">
        <v>114</v>
      </c>
      <c r="H732" s="184" t="s">
        <v>193</v>
      </c>
    </row>
    <row r="733" spans="1:20">
      <c r="A733" s="182">
        <v>44967</v>
      </c>
      <c r="B733" s="183">
        <v>0.69046296296296295</v>
      </c>
      <c r="C733" s="184" t="s">
        <v>73</v>
      </c>
      <c r="D733" s="184" t="s">
        <v>68</v>
      </c>
      <c r="E733" s="184" t="s">
        <v>19</v>
      </c>
      <c r="F733" s="182">
        <v>44978</v>
      </c>
      <c r="G733" s="186" t="s">
        <v>94</v>
      </c>
      <c r="H733" s="184" t="s">
        <v>231</v>
      </c>
      <c r="T733" s="184" t="s">
        <v>234</v>
      </c>
    </row>
    <row r="734" spans="1:20">
      <c r="A734" s="182">
        <v>44967</v>
      </c>
      <c r="B734" s="183">
        <v>0.69842592592592589</v>
      </c>
      <c r="C734" s="184" t="s">
        <v>73</v>
      </c>
      <c r="D734" s="184" t="s">
        <v>68</v>
      </c>
      <c r="E734" s="184" t="s">
        <v>96</v>
      </c>
      <c r="F734" s="182">
        <v>44999</v>
      </c>
      <c r="G734" s="186" t="s">
        <v>94</v>
      </c>
      <c r="H734" s="184" t="s">
        <v>245</v>
      </c>
      <c r="T734" s="184" t="s">
        <v>1004</v>
      </c>
    </row>
    <row r="735" spans="1:20">
      <c r="A735" s="182">
        <v>44967</v>
      </c>
      <c r="B735" s="183">
        <v>0.70181712962962972</v>
      </c>
      <c r="C735" s="184" t="s">
        <v>73</v>
      </c>
      <c r="D735" s="184" t="s">
        <v>68</v>
      </c>
      <c r="E735" s="184" t="s">
        <v>96</v>
      </c>
      <c r="F735" s="182">
        <v>44999</v>
      </c>
      <c r="G735" s="186" t="s">
        <v>99</v>
      </c>
      <c r="H735" s="184" t="s">
        <v>241</v>
      </c>
      <c r="T735" s="184" t="s">
        <v>691</v>
      </c>
    </row>
    <row r="736" spans="1:20">
      <c r="A736" s="182">
        <v>44970</v>
      </c>
      <c r="B736" s="183">
        <v>0.39606481481481487</v>
      </c>
      <c r="C736" s="184" t="s">
        <v>67</v>
      </c>
      <c r="D736" s="184" t="s">
        <v>68</v>
      </c>
      <c r="E736" s="184" t="s">
        <v>19</v>
      </c>
      <c r="F736" s="182">
        <v>44978</v>
      </c>
      <c r="G736" s="186" t="s">
        <v>99</v>
      </c>
      <c r="H736" s="184" t="s">
        <v>225</v>
      </c>
      <c r="T736" s="184" t="s">
        <v>409</v>
      </c>
    </row>
    <row r="737" spans="1:20">
      <c r="A737" s="182">
        <v>44971</v>
      </c>
      <c r="B737" s="183">
        <v>0.61230324074074072</v>
      </c>
      <c r="C737" s="184" t="s">
        <v>73</v>
      </c>
      <c r="D737" s="184" t="s">
        <v>68</v>
      </c>
      <c r="E737" s="184" t="s">
        <v>96</v>
      </c>
      <c r="F737" s="182">
        <v>44999</v>
      </c>
      <c r="G737" s="186" t="s">
        <v>99</v>
      </c>
      <c r="H737" s="184" t="s">
        <v>239</v>
      </c>
      <c r="T737" s="184" t="s">
        <v>991</v>
      </c>
    </row>
    <row r="738" spans="1:20">
      <c r="A738" s="182">
        <v>44971</v>
      </c>
      <c r="B738" s="183">
        <v>0.61557870370370371</v>
      </c>
      <c r="C738" s="184" t="s">
        <v>73</v>
      </c>
      <c r="D738" s="184" t="s">
        <v>91</v>
      </c>
      <c r="E738" s="184" t="s">
        <v>96</v>
      </c>
      <c r="F738" s="182">
        <v>44999</v>
      </c>
      <c r="G738" s="186" t="s">
        <v>94</v>
      </c>
      <c r="H738" s="184" t="s">
        <v>337</v>
      </c>
    </row>
    <row r="739" spans="1:20">
      <c r="A739" s="182">
        <v>44972</v>
      </c>
      <c r="B739" s="183">
        <v>0.70776620370370369</v>
      </c>
      <c r="C739" s="184" t="s">
        <v>67</v>
      </c>
      <c r="D739" s="184" t="s">
        <v>68</v>
      </c>
      <c r="E739" s="184" t="s">
        <v>19</v>
      </c>
      <c r="F739" s="182">
        <v>44978</v>
      </c>
      <c r="G739" s="186" t="s">
        <v>99</v>
      </c>
      <c r="H739" s="184" t="s">
        <v>213</v>
      </c>
      <c r="T739" s="184" t="s">
        <v>1008</v>
      </c>
    </row>
    <row r="740" spans="1:20">
      <c r="A740" s="182">
        <v>44992</v>
      </c>
      <c r="B740" s="183">
        <v>0.67815972222222232</v>
      </c>
      <c r="C740" s="184" t="s">
        <v>73</v>
      </c>
      <c r="D740" s="184" t="s">
        <v>68</v>
      </c>
      <c r="E740" s="184" t="s">
        <v>96</v>
      </c>
      <c r="F740" s="182">
        <v>44999</v>
      </c>
      <c r="G740" s="186" t="s">
        <v>99</v>
      </c>
      <c r="H740" s="184" t="s">
        <v>231</v>
      </c>
      <c r="T740" s="184" t="s">
        <v>587</v>
      </c>
    </row>
    <row r="741" spans="1:20">
      <c r="A741" s="182">
        <v>44992</v>
      </c>
      <c r="B741" s="183">
        <v>0.67925925925925934</v>
      </c>
      <c r="C741" s="184" t="s">
        <v>73</v>
      </c>
      <c r="D741" s="184" t="s">
        <v>78</v>
      </c>
      <c r="E741" s="184" t="s">
        <v>96</v>
      </c>
      <c r="F741" s="182">
        <v>44999</v>
      </c>
      <c r="G741" s="186" t="s">
        <v>94</v>
      </c>
      <c r="H741" s="184" t="s">
        <v>288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950D4-9DDA-4B9D-8079-7337F8807B0E}">
  <sheetPr codeName="Sheet14">
    <pageSetUpPr fitToPage="1"/>
  </sheetPr>
  <dimension ref="A1:AF78"/>
  <sheetViews>
    <sheetView showGridLines="0" zoomScale="70" zoomScaleNormal="70" workbookViewId="0">
      <pane xSplit="9" ySplit="4" topLeftCell="U55" activePane="bottomRight" state="frozen"/>
      <selection activeCell="E82" sqref="E82:E89"/>
      <selection pane="topRight" activeCell="E82" sqref="E82:E89"/>
      <selection pane="bottomLeft" activeCell="E82" sqref="E82:E89"/>
      <selection pane="bottomRight" activeCell="E82" sqref="E82:E89"/>
    </sheetView>
  </sheetViews>
  <sheetFormatPr defaultColWidth="8.25" defaultRowHeight="14"/>
  <cols>
    <col min="1" max="1" width="3.33203125" style="2" customWidth="1"/>
    <col min="2" max="2" width="31.75" style="2" bestFit="1" customWidth="1"/>
    <col min="3" max="3" width="10.08203125" style="2" bestFit="1" customWidth="1"/>
    <col min="4" max="4" width="10" style="2" bestFit="1" customWidth="1"/>
    <col min="5" max="5" width="6.08203125" style="2" bestFit="1" customWidth="1"/>
    <col min="6" max="6" width="6.75" style="2" customWidth="1"/>
    <col min="7" max="7" width="8.25" style="2"/>
    <col min="8" max="8" width="2.08203125" style="2" customWidth="1"/>
    <col min="9" max="9" width="8.25" style="2"/>
    <col min="10" max="24" width="4.08203125" style="2" customWidth="1"/>
    <col min="25" max="25" width="11.58203125" style="2" customWidth="1"/>
    <col min="26" max="26" width="16.58203125" style="2" customWidth="1"/>
    <col min="27" max="27" width="1" style="2" customWidth="1"/>
    <col min="28" max="28" width="21.75" style="2" bestFit="1" customWidth="1"/>
    <col min="29" max="29" width="23.08203125" style="3" bestFit="1" customWidth="1"/>
    <col min="30" max="30" width="33.5" style="3" bestFit="1" customWidth="1"/>
    <col min="31" max="31" width="8.25" style="2"/>
    <col min="32" max="32" width="9.25" style="2" bestFit="1" customWidth="1"/>
    <col min="33" max="16384" width="8.25" style="2"/>
  </cols>
  <sheetData>
    <row r="1" spans="2:30" ht="19">
      <c r="B1" s="1" t="s">
        <v>0</v>
      </c>
      <c r="C1" s="1"/>
    </row>
    <row r="2" spans="2:30" ht="20.25" customHeight="1" thickBot="1">
      <c r="B2" s="4" t="s">
        <v>974</v>
      </c>
      <c r="C2" s="4"/>
      <c r="F2" s="5" t="s">
        <v>2</v>
      </c>
    </row>
    <row r="3" spans="2:30" ht="19.5" customHeight="1">
      <c r="B3" s="6"/>
      <c r="C3" s="7"/>
      <c r="D3" s="8"/>
      <c r="E3" s="9" t="s">
        <v>3</v>
      </c>
      <c r="F3" s="10" t="s">
        <v>4</v>
      </c>
      <c r="G3" s="11" t="s">
        <v>5</v>
      </c>
      <c r="H3" s="12"/>
      <c r="I3" s="13" t="s">
        <v>6</v>
      </c>
      <c r="J3" s="341" t="s">
        <v>7</v>
      </c>
      <c r="K3" s="342"/>
      <c r="L3" s="343"/>
      <c r="M3" s="341" t="s">
        <v>8</v>
      </c>
      <c r="N3" s="342"/>
      <c r="O3" s="344"/>
      <c r="P3" s="341" t="s">
        <v>9</v>
      </c>
      <c r="Q3" s="342"/>
      <c r="R3" s="343"/>
      <c r="S3" s="341"/>
      <c r="T3" s="342"/>
      <c r="U3" s="343"/>
      <c r="V3" s="341" t="s">
        <v>10</v>
      </c>
      <c r="W3" s="342"/>
      <c r="X3" s="343"/>
      <c r="Y3" s="14" t="s">
        <v>11</v>
      </c>
      <c r="Z3" s="14" t="s">
        <v>12</v>
      </c>
      <c r="AB3" s="15" t="s">
        <v>13</v>
      </c>
      <c r="AC3" s="16"/>
      <c r="AD3" s="16"/>
    </row>
    <row r="4" spans="2:30" ht="19.5" hidden="1" customHeight="1">
      <c r="B4" s="6"/>
      <c r="C4" s="7"/>
      <c r="D4" s="8"/>
      <c r="E4" s="17"/>
      <c r="F4" s="18"/>
      <c r="G4" s="19"/>
      <c r="H4" s="12"/>
      <c r="I4" s="20"/>
      <c r="J4" s="21" t="str">
        <f>J3</f>
        <v>飯塚</v>
      </c>
      <c r="K4" s="22" t="str">
        <f>J3</f>
        <v>飯塚</v>
      </c>
      <c r="L4" s="23" t="str">
        <f>J3</f>
        <v>飯塚</v>
      </c>
      <c r="M4" s="21" t="str">
        <f>M3</f>
        <v>田川</v>
      </c>
      <c r="N4" s="22" t="str">
        <f>M3</f>
        <v>田川</v>
      </c>
      <c r="O4" s="24" t="str">
        <f>M3</f>
        <v>田川</v>
      </c>
      <c r="P4" s="21" t="str">
        <f>P3</f>
        <v>直鞍</v>
      </c>
      <c r="Q4" s="22" t="str">
        <f>P3</f>
        <v>直鞍</v>
      </c>
      <c r="R4" s="23" t="str">
        <f>P3</f>
        <v>直鞍</v>
      </c>
      <c r="S4" s="21">
        <f>S3</f>
        <v>0</v>
      </c>
      <c r="T4" s="22">
        <f>S3</f>
        <v>0</v>
      </c>
      <c r="U4" s="23">
        <f>S3</f>
        <v>0</v>
      </c>
      <c r="V4" s="21" t="str">
        <f>V3</f>
        <v>連合会</v>
      </c>
      <c r="W4" s="22" t="str">
        <f>V3</f>
        <v>連合会</v>
      </c>
      <c r="X4" s="23" t="str">
        <f>V3</f>
        <v>連合会</v>
      </c>
      <c r="Y4" s="23"/>
      <c r="Z4" s="23"/>
      <c r="AB4" s="25"/>
      <c r="AC4" s="26"/>
      <c r="AD4" s="27"/>
    </row>
    <row r="5" spans="2:30" ht="19.5" customHeight="1">
      <c r="B5" s="28"/>
      <c r="C5" s="29"/>
      <c r="D5" s="30"/>
      <c r="E5" s="31"/>
      <c r="F5" s="32"/>
      <c r="G5" s="33"/>
      <c r="H5" s="34"/>
      <c r="I5" s="35"/>
      <c r="J5" s="36" t="s">
        <v>14</v>
      </c>
      <c r="K5" s="31"/>
      <c r="L5" s="37" t="s">
        <v>16</v>
      </c>
      <c r="M5" s="36" t="s">
        <v>14</v>
      </c>
      <c r="N5" s="31"/>
      <c r="O5" s="37" t="s">
        <v>16</v>
      </c>
      <c r="P5" s="36" t="s">
        <v>14</v>
      </c>
      <c r="Q5" s="31"/>
      <c r="R5" s="37" t="s">
        <v>16</v>
      </c>
      <c r="S5" s="36" t="s">
        <v>14</v>
      </c>
      <c r="T5" s="31"/>
      <c r="U5" s="37" t="s">
        <v>16</v>
      </c>
      <c r="V5" s="36" t="s">
        <v>14</v>
      </c>
      <c r="W5" s="31"/>
      <c r="X5" s="37" t="s">
        <v>16</v>
      </c>
      <c r="Y5" s="38"/>
      <c r="Z5" s="38"/>
      <c r="AB5" s="39"/>
      <c r="AC5" s="36" t="s">
        <v>17</v>
      </c>
      <c r="AD5" s="37" t="s">
        <v>18</v>
      </c>
    </row>
    <row r="6" spans="2:30" ht="19.5" customHeight="1">
      <c r="B6" s="345" t="s">
        <v>19</v>
      </c>
      <c r="C6" s="40" t="s">
        <v>1222</v>
      </c>
      <c r="D6" s="41">
        <v>45029</v>
      </c>
      <c r="E6" s="42" t="s">
        <v>684</v>
      </c>
      <c r="F6" s="263">
        <v>20</v>
      </c>
      <c r="G6" s="44">
        <f t="shared" ref="G6:G12" si="0">F6-I6</f>
        <v>2</v>
      </c>
      <c r="H6" s="45"/>
      <c r="I6" s="46">
        <f t="shared" ref="I6:I11" si="1">SUM(J6:X6)</f>
        <v>18</v>
      </c>
      <c r="J6" s="47">
        <f>2+1</f>
        <v>3</v>
      </c>
      <c r="K6" s="48"/>
      <c r="L6" s="49">
        <f>1+1+1-1+1+1+1+1+1+1+1-1+1-1</f>
        <v>8</v>
      </c>
      <c r="M6" s="47"/>
      <c r="N6" s="48"/>
      <c r="O6" s="49">
        <f>2+1</f>
        <v>3</v>
      </c>
      <c r="P6" s="47"/>
      <c r="Q6" s="48"/>
      <c r="R6" s="49">
        <f>1+1+1+1-1-1</f>
        <v>2</v>
      </c>
      <c r="S6" s="47"/>
      <c r="T6" s="48"/>
      <c r="U6" s="49"/>
      <c r="V6" s="47"/>
      <c r="W6" s="48"/>
      <c r="X6" s="49">
        <f>1+1+1-1</f>
        <v>2</v>
      </c>
      <c r="Y6" s="50">
        <v>45026</v>
      </c>
      <c r="Z6" s="50"/>
      <c r="AB6" s="51"/>
      <c r="AC6" s="62" t="s">
        <v>987</v>
      </c>
      <c r="AD6" s="52" t="s">
        <v>725</v>
      </c>
    </row>
    <row r="7" spans="2:30" ht="19.5" customHeight="1">
      <c r="B7" s="339"/>
      <c r="C7" s="54" t="s">
        <v>1222</v>
      </c>
      <c r="D7" s="55">
        <v>45099</v>
      </c>
      <c r="E7" s="202" t="s">
        <v>685</v>
      </c>
      <c r="F7" s="56">
        <v>40</v>
      </c>
      <c r="G7" s="44">
        <f t="shared" si="0"/>
        <v>0</v>
      </c>
      <c r="H7" s="45"/>
      <c r="I7" s="57">
        <f t="shared" si="1"/>
        <v>40</v>
      </c>
      <c r="J7" s="58">
        <v>1</v>
      </c>
      <c r="K7" s="59"/>
      <c r="L7" s="60">
        <f>1+2+1+2+1+3+1-1+1+1+2-2+1</f>
        <v>13</v>
      </c>
      <c r="M7" s="58"/>
      <c r="N7" s="59"/>
      <c r="O7" s="60">
        <f>2+2+1+2+1</f>
        <v>8</v>
      </c>
      <c r="P7" s="58"/>
      <c r="Q7" s="59"/>
      <c r="R7" s="60">
        <f>1+1+1+1+4+2+1+2+1+1</f>
        <v>15</v>
      </c>
      <c r="S7" s="58"/>
      <c r="T7" s="59"/>
      <c r="U7" s="60"/>
      <c r="V7" s="58"/>
      <c r="W7" s="59"/>
      <c r="X7" s="60">
        <f>1+1+1</f>
        <v>3</v>
      </c>
      <c r="Y7" s="61">
        <v>45076</v>
      </c>
      <c r="Z7" s="61" t="s">
        <v>1085</v>
      </c>
      <c r="AB7" s="51"/>
      <c r="AC7" s="52" t="s">
        <v>985</v>
      </c>
      <c r="AD7" s="52"/>
    </row>
    <row r="8" spans="2:30" ht="19.5" customHeight="1">
      <c r="B8" s="339"/>
      <c r="C8" s="54" t="s">
        <v>1222</v>
      </c>
      <c r="D8" s="41">
        <v>45211</v>
      </c>
      <c r="E8" s="42" t="s">
        <v>684</v>
      </c>
      <c r="F8" s="56">
        <v>40</v>
      </c>
      <c r="G8" s="44">
        <f t="shared" si="0"/>
        <v>1</v>
      </c>
      <c r="H8" s="45"/>
      <c r="I8" s="46">
        <f t="shared" si="1"/>
        <v>39</v>
      </c>
      <c r="J8" s="47">
        <v>1</v>
      </c>
      <c r="K8" s="48"/>
      <c r="L8" s="49">
        <f>1+1+1+1+1+2+1+1+1+2+1+1+1+4+1+3+1-1+1-1-1+1-1</f>
        <v>22</v>
      </c>
      <c r="M8" s="47">
        <v>1</v>
      </c>
      <c r="N8" s="48"/>
      <c r="O8" s="49">
        <f>1+1+1+2+1-1</f>
        <v>5</v>
      </c>
      <c r="P8" s="47"/>
      <c r="Q8" s="48"/>
      <c r="R8" s="49">
        <f>1+1+1+1+3+1+1+1</f>
        <v>10</v>
      </c>
      <c r="S8" s="47"/>
      <c r="T8" s="48"/>
      <c r="U8" s="49"/>
      <c r="V8" s="47"/>
      <c r="W8" s="48"/>
      <c r="X8" s="49"/>
      <c r="Y8" s="50">
        <v>45209</v>
      </c>
      <c r="Z8" s="50" t="s">
        <v>1138</v>
      </c>
      <c r="AB8" s="51"/>
      <c r="AC8" s="62" t="s">
        <v>987</v>
      </c>
      <c r="AD8" s="52" t="s">
        <v>725</v>
      </c>
    </row>
    <row r="9" spans="2:30" ht="19.5" customHeight="1">
      <c r="B9" s="339"/>
      <c r="C9" s="54" t="s">
        <v>1222</v>
      </c>
      <c r="D9" s="41">
        <v>45274</v>
      </c>
      <c r="E9" s="42" t="s">
        <v>684</v>
      </c>
      <c r="F9" s="204">
        <v>20</v>
      </c>
      <c r="G9" s="44">
        <f t="shared" si="0"/>
        <v>2</v>
      </c>
      <c r="H9" s="45"/>
      <c r="I9" s="46">
        <f t="shared" si="1"/>
        <v>18</v>
      </c>
      <c r="J9" s="47"/>
      <c r="K9" s="48"/>
      <c r="L9" s="49">
        <f>1+1+3+1+1+1+3+1+1-1</f>
        <v>12</v>
      </c>
      <c r="M9" s="47">
        <v>1</v>
      </c>
      <c r="N9" s="48"/>
      <c r="O9" s="49">
        <f>1+1+2</f>
        <v>4</v>
      </c>
      <c r="P9" s="47"/>
      <c r="Q9" s="48"/>
      <c r="R9" s="49">
        <f>1-1</f>
        <v>0</v>
      </c>
      <c r="S9" s="47"/>
      <c r="T9" s="48"/>
      <c r="U9" s="49"/>
      <c r="V9" s="47"/>
      <c r="W9" s="48"/>
      <c r="X9" s="49">
        <v>1</v>
      </c>
      <c r="Y9" s="50">
        <v>45261</v>
      </c>
      <c r="Z9" s="50"/>
      <c r="AB9" s="51"/>
      <c r="AC9" s="62" t="s">
        <v>987</v>
      </c>
      <c r="AD9" s="52" t="s">
        <v>688</v>
      </c>
    </row>
    <row r="10" spans="2:30" ht="20.25" customHeight="1">
      <c r="B10" s="339"/>
      <c r="C10" s="54" t="s">
        <v>1222</v>
      </c>
      <c r="D10" s="41">
        <v>45341</v>
      </c>
      <c r="E10" s="42" t="s">
        <v>684</v>
      </c>
      <c r="F10" s="204">
        <v>30</v>
      </c>
      <c r="G10" s="44">
        <f t="shared" si="0"/>
        <v>0</v>
      </c>
      <c r="H10" s="45"/>
      <c r="I10" s="46">
        <f t="shared" si="1"/>
        <v>30</v>
      </c>
      <c r="J10" s="47">
        <v>1</v>
      </c>
      <c r="K10" s="48"/>
      <c r="L10" s="49">
        <f>1+2+2+1+1+1+1+1+1-1+1+1+1+1+1</f>
        <v>15</v>
      </c>
      <c r="M10" s="47"/>
      <c r="N10" s="48"/>
      <c r="O10" s="49">
        <f>2+1+6-1</f>
        <v>8</v>
      </c>
      <c r="P10" s="47"/>
      <c r="Q10" s="48"/>
      <c r="R10" s="49">
        <f>1+1+1+4-1</f>
        <v>6</v>
      </c>
      <c r="S10" s="47"/>
      <c r="T10" s="48"/>
      <c r="U10" s="49"/>
      <c r="V10" s="47"/>
      <c r="W10" s="48"/>
      <c r="X10" s="49">
        <f>1-1</f>
        <v>0</v>
      </c>
      <c r="Y10" s="50">
        <v>45328</v>
      </c>
      <c r="Z10" s="50"/>
      <c r="AB10" s="51"/>
      <c r="AC10" s="52" t="s">
        <v>762</v>
      </c>
      <c r="AD10" s="52" t="s">
        <v>725</v>
      </c>
    </row>
    <row r="11" spans="2:30" hidden="1">
      <c r="B11" s="339"/>
      <c r="C11" s="54" t="str">
        <f>B6</f>
        <v>玉掛</v>
      </c>
      <c r="D11" s="41"/>
      <c r="E11" s="42"/>
      <c r="F11" s="56"/>
      <c r="G11" s="44">
        <f t="shared" si="0"/>
        <v>0</v>
      </c>
      <c r="H11" s="45"/>
      <c r="I11" s="46">
        <f t="shared" si="1"/>
        <v>0</v>
      </c>
      <c r="J11" s="47"/>
      <c r="K11" s="48"/>
      <c r="L11" s="49"/>
      <c r="M11" s="47"/>
      <c r="N11" s="48"/>
      <c r="O11" s="49"/>
      <c r="P11" s="47"/>
      <c r="Q11" s="48"/>
      <c r="R11" s="49"/>
      <c r="S11" s="47"/>
      <c r="T11" s="48"/>
      <c r="U11" s="49"/>
      <c r="V11" s="47"/>
      <c r="W11" s="48"/>
      <c r="X11" s="49"/>
      <c r="Y11" s="50"/>
      <c r="Z11" s="50"/>
      <c r="AB11" s="51"/>
      <c r="AC11" s="52"/>
      <c r="AD11" s="53"/>
    </row>
    <row r="12" spans="2:30" ht="18.649999999999999" hidden="1" customHeight="1">
      <c r="B12" s="340"/>
      <c r="C12" s="54" t="str">
        <f>B6</f>
        <v>玉掛</v>
      </c>
      <c r="D12" s="63"/>
      <c r="E12" s="64"/>
      <c r="F12" s="65"/>
      <c r="G12" s="66">
        <f t="shared" si="0"/>
        <v>0</v>
      </c>
      <c r="H12" s="45"/>
      <c r="I12" s="67"/>
      <c r="J12" s="68"/>
      <c r="K12" s="69"/>
      <c r="L12" s="70"/>
      <c r="M12" s="68"/>
      <c r="N12" s="69"/>
      <c r="O12" s="70"/>
      <c r="P12" s="68"/>
      <c r="Q12" s="69"/>
      <c r="R12" s="70"/>
      <c r="S12" s="68"/>
      <c r="T12" s="69"/>
      <c r="U12" s="70"/>
      <c r="V12" s="68"/>
      <c r="W12" s="69"/>
      <c r="X12" s="70"/>
      <c r="Y12" s="71"/>
      <c r="Z12" s="71"/>
      <c r="AB12" s="72"/>
      <c r="AC12" s="62"/>
      <c r="AD12" s="73"/>
    </row>
    <row r="13" spans="2:30" ht="19" customHeight="1">
      <c r="B13" s="36"/>
      <c r="C13" s="74"/>
      <c r="D13" s="75"/>
      <c r="E13" s="31"/>
      <c r="F13" s="76"/>
      <c r="G13" s="77"/>
      <c r="H13" s="78"/>
      <c r="I13" s="79"/>
      <c r="J13" s="28" t="s">
        <v>27</v>
      </c>
      <c r="K13" s="76" t="s">
        <v>28</v>
      </c>
      <c r="L13" s="80" t="s">
        <v>29</v>
      </c>
      <c r="M13" s="28" t="s">
        <v>27</v>
      </c>
      <c r="N13" s="76" t="s">
        <v>28</v>
      </c>
      <c r="O13" s="80" t="s">
        <v>29</v>
      </c>
      <c r="P13" s="28" t="s">
        <v>27</v>
      </c>
      <c r="Q13" s="76" t="s">
        <v>28</v>
      </c>
      <c r="R13" s="80" t="s">
        <v>29</v>
      </c>
      <c r="S13" s="28" t="s">
        <v>27</v>
      </c>
      <c r="T13" s="76" t="s">
        <v>28</v>
      </c>
      <c r="U13" s="80" t="s">
        <v>29</v>
      </c>
      <c r="V13" s="28" t="s">
        <v>27</v>
      </c>
      <c r="W13" s="76" t="s">
        <v>28</v>
      </c>
      <c r="X13" s="80" t="s">
        <v>29</v>
      </c>
      <c r="Y13" s="81"/>
      <c r="Z13" s="81"/>
      <c r="AB13" s="82" t="s">
        <v>30</v>
      </c>
      <c r="AC13" s="36" t="s">
        <v>31</v>
      </c>
      <c r="AD13" s="37" t="s">
        <v>18</v>
      </c>
    </row>
    <row r="14" spans="2:30" ht="19.5" customHeight="1">
      <c r="B14" s="339" t="s">
        <v>32</v>
      </c>
      <c r="C14" s="54" t="s">
        <v>1221</v>
      </c>
      <c r="D14" s="41">
        <v>45080</v>
      </c>
      <c r="E14" s="42" t="s">
        <v>686</v>
      </c>
      <c r="F14" s="263">
        <v>30</v>
      </c>
      <c r="G14" s="83">
        <f t="shared" ref="G14:G20" si="2">F14-I14</f>
        <v>2</v>
      </c>
      <c r="H14" s="45"/>
      <c r="I14" s="57">
        <f t="shared" ref="I14:I20" si="3">SUM(J14:X14)</f>
        <v>28</v>
      </c>
      <c r="J14" s="58"/>
      <c r="K14" s="56">
        <f>1+1+1+2-2-1+1-1</f>
        <v>2</v>
      </c>
      <c r="L14" s="60">
        <v>1</v>
      </c>
      <c r="M14" s="58">
        <f>1+1-1</f>
        <v>1</v>
      </c>
      <c r="N14" s="48">
        <f>4+3+3+2+3+1+1+1+2+2-2+2-1-1</f>
        <v>20</v>
      </c>
      <c r="O14" s="49">
        <v>1</v>
      </c>
      <c r="P14" s="58"/>
      <c r="Q14" s="56">
        <v>1</v>
      </c>
      <c r="R14" s="60"/>
      <c r="S14" s="58"/>
      <c r="T14" s="56"/>
      <c r="U14" s="49"/>
      <c r="V14" s="58"/>
      <c r="W14" s="56">
        <v>2</v>
      </c>
      <c r="X14" s="49"/>
      <c r="Y14" s="61">
        <v>45070</v>
      </c>
      <c r="Z14" s="61"/>
      <c r="AB14" s="47" t="s">
        <v>687</v>
      </c>
      <c r="AC14" s="47" t="s">
        <v>687</v>
      </c>
      <c r="AD14" s="47" t="s">
        <v>687</v>
      </c>
    </row>
    <row r="15" spans="2:30" ht="19.5" customHeight="1">
      <c r="B15" s="339"/>
      <c r="C15" s="54" t="s">
        <v>1221</v>
      </c>
      <c r="D15" s="55">
        <v>45118</v>
      </c>
      <c r="E15" s="42" t="s">
        <v>684</v>
      </c>
      <c r="F15" s="43">
        <v>40</v>
      </c>
      <c r="G15" s="44">
        <f t="shared" si="2"/>
        <v>0</v>
      </c>
      <c r="H15" s="45"/>
      <c r="I15" s="46">
        <f t="shared" si="3"/>
        <v>40</v>
      </c>
      <c r="J15" s="47"/>
      <c r="K15" s="43">
        <f>1+1+1+1+2+1+1+1+1+2+1+2+1+3+2+1+1+1+8-8+1+1+1-1-1-1+1-1+1-2+1+1+1</f>
        <v>26</v>
      </c>
      <c r="L15" s="49"/>
      <c r="M15" s="47"/>
      <c r="N15" s="48">
        <f>2+1+1</f>
        <v>4</v>
      </c>
      <c r="O15" s="49"/>
      <c r="P15" s="47"/>
      <c r="Q15" s="43">
        <f>2+1+1+1+1+1+1+1+1-1</f>
        <v>9</v>
      </c>
      <c r="R15" s="49"/>
      <c r="S15" s="47"/>
      <c r="T15" s="85"/>
      <c r="U15" s="49"/>
      <c r="V15" s="47"/>
      <c r="W15" s="85">
        <f>1-1+1+1-1</f>
        <v>1</v>
      </c>
      <c r="X15" s="49"/>
      <c r="Y15" s="50">
        <v>45110</v>
      </c>
      <c r="Z15" s="50"/>
      <c r="AB15" s="52" t="s">
        <v>762</v>
      </c>
      <c r="AC15" s="52" t="s">
        <v>762</v>
      </c>
      <c r="AD15" s="52" t="s">
        <v>725</v>
      </c>
    </row>
    <row r="16" spans="2:30" ht="19.5" customHeight="1">
      <c r="B16" s="339"/>
      <c r="C16" s="54" t="s">
        <v>1221</v>
      </c>
      <c r="D16" s="41">
        <v>45205</v>
      </c>
      <c r="E16" s="202" t="s">
        <v>685</v>
      </c>
      <c r="F16" s="263">
        <v>20</v>
      </c>
      <c r="G16" s="44">
        <f t="shared" si="2"/>
        <v>0</v>
      </c>
      <c r="H16" s="45"/>
      <c r="I16" s="46">
        <f t="shared" si="3"/>
        <v>20</v>
      </c>
      <c r="J16" s="47"/>
      <c r="K16" s="43">
        <f>1+1+2-2+1</f>
        <v>3</v>
      </c>
      <c r="L16" s="49"/>
      <c r="M16" s="47"/>
      <c r="N16" s="48">
        <f>2+1+1+1+1+2+1</f>
        <v>9</v>
      </c>
      <c r="O16" s="303"/>
      <c r="P16" s="47"/>
      <c r="Q16" s="43">
        <f>1+2+2+1+1</f>
        <v>7</v>
      </c>
      <c r="R16" s="49"/>
      <c r="S16" s="47"/>
      <c r="T16" s="85"/>
      <c r="U16" s="49"/>
      <c r="V16" s="47"/>
      <c r="W16" s="85">
        <f>1+1-1</f>
        <v>1</v>
      </c>
      <c r="X16" s="49"/>
      <c r="Y16" s="50">
        <v>45183</v>
      </c>
      <c r="Z16" s="50"/>
      <c r="AB16" s="51"/>
      <c r="AC16" s="52" t="s">
        <v>985</v>
      </c>
      <c r="AD16" s="52"/>
    </row>
    <row r="17" spans="2:32" ht="19.5" customHeight="1">
      <c r="B17" s="339"/>
      <c r="C17" s="54" t="s">
        <v>1221</v>
      </c>
      <c r="D17" s="41">
        <v>45236</v>
      </c>
      <c r="E17" s="42" t="s">
        <v>684</v>
      </c>
      <c r="F17" s="43">
        <v>40</v>
      </c>
      <c r="G17" s="44">
        <f t="shared" si="2"/>
        <v>2</v>
      </c>
      <c r="H17" s="45"/>
      <c r="I17" s="46">
        <f t="shared" si="3"/>
        <v>38</v>
      </c>
      <c r="J17" s="47"/>
      <c r="K17" s="43">
        <f>1+2+2+1+2+1+3+3+1+1+1+1+1+1+1+1+1+1+2-1-1+1-1-2+1+1-1</f>
        <v>24</v>
      </c>
      <c r="L17" s="49"/>
      <c r="M17" s="47"/>
      <c r="N17" s="48">
        <f>1+2+1</f>
        <v>4</v>
      </c>
      <c r="O17" s="49"/>
      <c r="P17" s="47"/>
      <c r="Q17" s="43">
        <f>1+3+1+4</f>
        <v>9</v>
      </c>
      <c r="R17" s="49"/>
      <c r="S17" s="47"/>
      <c r="T17" s="85"/>
      <c r="U17" s="49"/>
      <c r="V17" s="47"/>
      <c r="W17" s="85">
        <f>1-1+1</f>
        <v>1</v>
      </c>
      <c r="X17" s="49"/>
      <c r="Y17" s="50">
        <v>45225</v>
      </c>
      <c r="Z17" s="50"/>
      <c r="AB17" s="84"/>
      <c r="AC17" s="62" t="s">
        <v>987</v>
      </c>
      <c r="AD17" s="52" t="s">
        <v>725</v>
      </c>
      <c r="AF17" s="250"/>
    </row>
    <row r="18" spans="2:32" ht="19.5" customHeight="1">
      <c r="B18" s="339"/>
      <c r="C18" s="54" t="s">
        <v>1221</v>
      </c>
      <c r="D18" s="41">
        <v>45363</v>
      </c>
      <c r="E18" s="42" t="s">
        <v>684</v>
      </c>
      <c r="F18" s="43">
        <v>40</v>
      </c>
      <c r="G18" s="44">
        <f t="shared" si="2"/>
        <v>1</v>
      </c>
      <c r="H18" s="45"/>
      <c r="I18" s="46">
        <f t="shared" si="3"/>
        <v>39</v>
      </c>
      <c r="J18" s="68"/>
      <c r="K18" s="65">
        <f>1+1+1+1+1+1+1+2+1+1+1+2+1+1+1+1+1+1+1-2+2+1+1+1+1+1+2+1+1+1+1-1-1+1+1-1+1-1-1+1-1</f>
        <v>30</v>
      </c>
      <c r="L18" s="70"/>
      <c r="M18" s="68">
        <f>1+1</f>
        <v>2</v>
      </c>
      <c r="N18" s="48"/>
      <c r="O18" s="49"/>
      <c r="P18" s="68"/>
      <c r="Q18" s="65">
        <f>3+2-1</f>
        <v>4</v>
      </c>
      <c r="R18" s="70"/>
      <c r="S18" s="68"/>
      <c r="T18" s="86"/>
      <c r="U18" s="70"/>
      <c r="V18" s="68"/>
      <c r="W18" s="86">
        <f>1+2+1-1</f>
        <v>3</v>
      </c>
      <c r="X18" s="70"/>
      <c r="Y18" s="71">
        <v>45363</v>
      </c>
      <c r="Z18" s="71"/>
      <c r="AB18" s="87"/>
      <c r="AC18" s="52" t="s">
        <v>762</v>
      </c>
      <c r="AD18" s="52" t="s">
        <v>725</v>
      </c>
    </row>
    <row r="19" spans="2:32" hidden="1">
      <c r="B19" s="339"/>
      <c r="C19" s="54" t="str">
        <f>B14</f>
        <v>フォーク</v>
      </c>
      <c r="D19" s="63"/>
      <c r="E19" s="42"/>
      <c r="F19" s="43">
        <v>40</v>
      </c>
      <c r="G19" s="44">
        <f t="shared" si="2"/>
        <v>40</v>
      </c>
      <c r="H19" s="45"/>
      <c r="I19" s="46">
        <f t="shared" si="3"/>
        <v>0</v>
      </c>
      <c r="J19" s="68"/>
      <c r="K19" s="65"/>
      <c r="L19" s="70"/>
      <c r="M19" s="68"/>
      <c r="N19" s="65"/>
      <c r="O19" s="70"/>
      <c r="P19" s="68"/>
      <c r="Q19" s="65"/>
      <c r="R19" s="70"/>
      <c r="S19" s="68"/>
      <c r="T19" s="86"/>
      <c r="U19" s="70"/>
      <c r="V19" s="68"/>
      <c r="W19" s="86"/>
      <c r="X19" s="70"/>
      <c r="Y19" s="71"/>
      <c r="Z19" s="71"/>
      <c r="AB19" s="87"/>
      <c r="AC19" s="62"/>
      <c r="AD19" s="53"/>
    </row>
    <row r="20" spans="2:32" hidden="1">
      <c r="B20" s="340"/>
      <c r="C20" s="88" t="str">
        <f>B14</f>
        <v>フォーク</v>
      </c>
      <c r="D20" s="89"/>
      <c r="E20" s="90"/>
      <c r="F20" s="65"/>
      <c r="G20" s="91">
        <f t="shared" si="2"/>
        <v>0</v>
      </c>
      <c r="H20" s="92"/>
      <c r="I20" s="93">
        <f t="shared" si="3"/>
        <v>0</v>
      </c>
      <c r="J20" s="94"/>
      <c r="K20" s="95"/>
      <c r="L20" s="96"/>
      <c r="M20" s="94"/>
      <c r="N20" s="95"/>
      <c r="O20" s="96"/>
      <c r="P20" s="94"/>
      <c r="Q20" s="95"/>
      <c r="R20" s="96"/>
      <c r="S20" s="94"/>
      <c r="T20" s="97"/>
      <c r="U20" s="96"/>
      <c r="V20" s="94"/>
      <c r="W20" s="97"/>
      <c r="X20" s="96"/>
      <c r="Y20" s="98"/>
      <c r="Z20" s="98"/>
      <c r="AB20" s="72"/>
      <c r="AC20" s="62"/>
      <c r="AD20" s="53"/>
    </row>
    <row r="21" spans="2:32" ht="19" customHeight="1">
      <c r="B21" s="99"/>
      <c r="C21" s="100"/>
      <c r="D21" s="101"/>
      <c r="E21" s="102"/>
      <c r="F21" s="103"/>
      <c r="G21" s="104"/>
      <c r="H21" s="105"/>
      <c r="I21" s="106"/>
      <c r="J21" s="107" t="s">
        <v>15</v>
      </c>
      <c r="K21" s="108" t="s">
        <v>34</v>
      </c>
      <c r="L21" s="109"/>
      <c r="M21" s="107" t="s">
        <v>15</v>
      </c>
      <c r="N21" s="108" t="s">
        <v>34</v>
      </c>
      <c r="O21" s="109"/>
      <c r="P21" s="107" t="s">
        <v>15</v>
      </c>
      <c r="Q21" s="108" t="s">
        <v>34</v>
      </c>
      <c r="R21" s="109"/>
      <c r="S21" s="107" t="s">
        <v>15</v>
      </c>
      <c r="T21" s="108" t="s">
        <v>34</v>
      </c>
      <c r="U21" s="109"/>
      <c r="V21" s="107" t="s">
        <v>15</v>
      </c>
      <c r="W21" s="108" t="s">
        <v>34</v>
      </c>
      <c r="X21" s="109"/>
      <c r="Y21" s="110"/>
      <c r="Z21" s="110"/>
      <c r="AB21" s="111"/>
      <c r="AC21" s="36" t="s">
        <v>17</v>
      </c>
      <c r="AD21" s="37" t="s">
        <v>18</v>
      </c>
    </row>
    <row r="22" spans="2:32" ht="19.5" customHeight="1">
      <c r="B22" s="339" t="s">
        <v>35</v>
      </c>
      <c r="C22" s="54" t="s">
        <v>1223</v>
      </c>
      <c r="D22" s="55">
        <v>45055</v>
      </c>
      <c r="E22" s="42" t="s">
        <v>684</v>
      </c>
      <c r="F22" s="56">
        <v>20</v>
      </c>
      <c r="G22" s="83">
        <f>F22-I22</f>
        <v>7</v>
      </c>
      <c r="H22" s="45"/>
      <c r="I22" s="57">
        <f>SUM(J22:X22)</f>
        <v>13</v>
      </c>
      <c r="J22" s="58">
        <f>1+1+1+2+1+1+1</f>
        <v>8</v>
      </c>
      <c r="K22" s="59">
        <v>1</v>
      </c>
      <c r="L22" s="60"/>
      <c r="M22" s="58">
        <v>1</v>
      </c>
      <c r="N22" s="59"/>
      <c r="O22" s="60"/>
      <c r="P22" s="58"/>
      <c r="Q22" s="59">
        <f>2+1-1</f>
        <v>2</v>
      </c>
      <c r="R22" s="60"/>
      <c r="S22" s="58"/>
      <c r="T22" s="59"/>
      <c r="U22" s="60"/>
      <c r="V22" s="58"/>
      <c r="W22" s="59">
        <v>1</v>
      </c>
      <c r="X22" s="60"/>
      <c r="Y22" s="61">
        <v>45036</v>
      </c>
      <c r="Z22" s="61"/>
      <c r="AB22" s="51"/>
      <c r="AC22" s="52" t="s">
        <v>986</v>
      </c>
      <c r="AD22" s="52" t="s">
        <v>725</v>
      </c>
    </row>
    <row r="23" spans="2:32" ht="17.25" hidden="1" customHeight="1">
      <c r="B23" s="339"/>
      <c r="C23" s="54" t="str">
        <f>B22</f>
        <v>小移動</v>
      </c>
      <c r="D23" s="41"/>
      <c r="E23" s="202"/>
      <c r="F23" s="56"/>
      <c r="G23" s="44"/>
      <c r="H23" s="113"/>
      <c r="I23" s="57">
        <f>SUM(J23:X23)</f>
        <v>0</v>
      </c>
      <c r="J23" s="47"/>
      <c r="K23" s="48"/>
      <c r="L23" s="114"/>
      <c r="M23" s="47"/>
      <c r="N23" s="48"/>
      <c r="O23" s="49"/>
      <c r="P23" s="47"/>
      <c r="Q23" s="48"/>
      <c r="R23" s="49"/>
      <c r="S23" s="47"/>
      <c r="T23" s="48"/>
      <c r="U23" s="49"/>
      <c r="V23" s="47"/>
      <c r="W23" s="48"/>
      <c r="X23" s="49"/>
      <c r="Y23" s="50"/>
      <c r="Z23" s="50"/>
      <c r="AB23" s="51"/>
      <c r="AC23" s="52"/>
      <c r="AD23" s="52"/>
    </row>
    <row r="24" spans="2:32" ht="19.5" hidden="1" customHeight="1">
      <c r="B24" s="339"/>
      <c r="C24" s="54" t="str">
        <f>B22</f>
        <v>小移動</v>
      </c>
      <c r="D24" s="63"/>
      <c r="E24" s="42"/>
      <c r="F24" s="56"/>
      <c r="G24" s="44">
        <f>F24-I24</f>
        <v>0</v>
      </c>
      <c r="H24" s="113"/>
      <c r="I24" s="57"/>
      <c r="J24" s="68"/>
      <c r="K24" s="65"/>
      <c r="L24" s="70"/>
      <c r="M24" s="68"/>
      <c r="N24" s="69"/>
      <c r="O24" s="70"/>
      <c r="P24" s="68"/>
      <c r="Q24" s="69"/>
      <c r="R24" s="70"/>
      <c r="S24" s="68"/>
      <c r="T24" s="69"/>
      <c r="U24" s="70"/>
      <c r="V24" s="68"/>
      <c r="W24" s="69"/>
      <c r="X24" s="70"/>
      <c r="Y24" s="71"/>
      <c r="Z24" s="71"/>
      <c r="AB24" s="115"/>
      <c r="AC24" s="62"/>
      <c r="AD24" s="53"/>
    </row>
    <row r="25" spans="2:32" ht="19.5" hidden="1" customHeight="1">
      <c r="B25" s="340"/>
      <c r="C25" s="88" t="str">
        <f>B22</f>
        <v>小移動</v>
      </c>
      <c r="D25" s="89"/>
      <c r="E25" s="90"/>
      <c r="F25" s="95"/>
      <c r="G25" s="91">
        <f>F25-I25</f>
        <v>0</v>
      </c>
      <c r="H25" s="116"/>
      <c r="I25" s="57"/>
      <c r="J25" s="94"/>
      <c r="K25" s="117"/>
      <c r="L25" s="96"/>
      <c r="M25" s="94"/>
      <c r="N25" s="117"/>
      <c r="O25" s="96"/>
      <c r="P25" s="94"/>
      <c r="Q25" s="117"/>
      <c r="R25" s="96"/>
      <c r="S25" s="94"/>
      <c r="T25" s="117"/>
      <c r="U25" s="96"/>
      <c r="V25" s="94"/>
      <c r="W25" s="117"/>
      <c r="X25" s="96"/>
      <c r="Y25" s="98"/>
      <c r="Z25" s="98"/>
      <c r="AB25" s="46"/>
      <c r="AC25" s="118"/>
      <c r="AD25" s="119"/>
    </row>
    <row r="26" spans="2:32" ht="19.5" customHeight="1">
      <c r="B26" s="120"/>
      <c r="C26" s="121"/>
      <c r="D26" s="122"/>
      <c r="E26" s="102"/>
      <c r="F26" s="123"/>
      <c r="G26" s="124" t="s">
        <v>37</v>
      </c>
      <c r="H26" s="12"/>
      <c r="I26" s="125" t="s">
        <v>6</v>
      </c>
      <c r="J26" s="341" t="s">
        <v>7</v>
      </c>
      <c r="K26" s="342"/>
      <c r="L26" s="343"/>
      <c r="M26" s="341" t="s">
        <v>8</v>
      </c>
      <c r="N26" s="342"/>
      <c r="O26" s="344"/>
      <c r="P26" s="341" t="s">
        <v>9</v>
      </c>
      <c r="Q26" s="342"/>
      <c r="R26" s="343"/>
      <c r="S26" s="341"/>
      <c r="T26" s="342"/>
      <c r="U26" s="343"/>
      <c r="V26" s="341"/>
      <c r="W26" s="342"/>
      <c r="X26" s="343"/>
      <c r="Y26" s="14" t="s">
        <v>11</v>
      </c>
      <c r="Z26" s="14"/>
      <c r="AB26" s="126"/>
      <c r="AC26" s="36" t="s">
        <v>17</v>
      </c>
      <c r="AD26" s="37" t="s">
        <v>18</v>
      </c>
    </row>
    <row r="27" spans="2:32" ht="19.5" hidden="1" customHeight="1">
      <c r="B27" s="28"/>
      <c r="C27" s="29"/>
      <c r="D27" s="75"/>
      <c r="E27" s="31"/>
      <c r="F27" s="32"/>
      <c r="G27" s="129"/>
      <c r="H27" s="12"/>
      <c r="I27" s="35"/>
      <c r="J27" s="36" t="s">
        <v>38</v>
      </c>
      <c r="K27" s="31" t="s">
        <v>39</v>
      </c>
      <c r="L27" s="37" t="s">
        <v>40</v>
      </c>
      <c r="M27" s="36" t="s">
        <v>38</v>
      </c>
      <c r="N27" s="31" t="s">
        <v>39</v>
      </c>
      <c r="O27" s="37" t="s">
        <v>40</v>
      </c>
      <c r="P27" s="36" t="s">
        <v>38</v>
      </c>
      <c r="Q27" s="31" t="s">
        <v>39</v>
      </c>
      <c r="R27" s="37" t="s">
        <v>40</v>
      </c>
      <c r="S27" s="36" t="s">
        <v>38</v>
      </c>
      <c r="T27" s="31" t="s">
        <v>39</v>
      </c>
      <c r="U27" s="37" t="s">
        <v>40</v>
      </c>
      <c r="V27" s="36" t="s">
        <v>38</v>
      </c>
      <c r="W27" s="31" t="s">
        <v>39</v>
      </c>
      <c r="X27" s="37" t="s">
        <v>40</v>
      </c>
      <c r="Y27" s="35"/>
      <c r="Z27" s="35"/>
      <c r="AB27" s="111"/>
      <c r="AC27" s="36" t="s">
        <v>17</v>
      </c>
      <c r="AD27" s="37" t="s">
        <v>18</v>
      </c>
    </row>
    <row r="28" spans="2:32" ht="19.5" hidden="1" customHeight="1">
      <c r="B28" s="339" t="s">
        <v>41</v>
      </c>
      <c r="C28" s="54" t="str">
        <f>B28</f>
        <v>高所</v>
      </c>
      <c r="D28" s="55"/>
      <c r="E28" s="42"/>
      <c r="F28" s="56">
        <v>10</v>
      </c>
      <c r="G28" s="83">
        <f t="shared" ref="G28:G51" si="4">F28-I28</f>
        <v>10</v>
      </c>
      <c r="H28" s="45"/>
      <c r="I28" s="57">
        <f>SUM(J28:X28)</f>
        <v>0</v>
      </c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61"/>
      <c r="Z28" s="61"/>
      <c r="AB28" s="51"/>
      <c r="AC28" s="52"/>
      <c r="AD28" s="53"/>
    </row>
    <row r="29" spans="2:32" ht="19.5" hidden="1" customHeight="1">
      <c r="B29" s="339"/>
      <c r="C29" s="54" t="str">
        <f>B28</f>
        <v>高所</v>
      </c>
      <c r="D29" s="55"/>
      <c r="E29" s="42"/>
      <c r="F29" s="56">
        <v>10</v>
      </c>
      <c r="G29" s="83">
        <f t="shared" si="4"/>
        <v>10</v>
      </c>
      <c r="H29" s="45"/>
      <c r="I29" s="57">
        <f>SUM(J29:X29)</f>
        <v>0</v>
      </c>
      <c r="J29" s="47"/>
      <c r="K29" s="48"/>
      <c r="L29" s="130"/>
      <c r="M29" s="47"/>
      <c r="N29" s="48"/>
      <c r="O29" s="130"/>
      <c r="P29" s="47"/>
      <c r="Q29" s="48"/>
      <c r="R29" s="130"/>
      <c r="S29" s="47"/>
      <c r="T29" s="48"/>
      <c r="U29" s="130"/>
      <c r="V29" s="47"/>
      <c r="W29" s="48"/>
      <c r="X29" s="130"/>
      <c r="Y29" s="50"/>
      <c r="Z29" s="50"/>
      <c r="AB29" s="51"/>
      <c r="AC29" s="154"/>
      <c r="AD29" s="53"/>
    </row>
    <row r="30" spans="2:32" ht="19.5" hidden="1" customHeight="1">
      <c r="B30" s="340"/>
      <c r="C30" s="88" t="str">
        <f>B28</f>
        <v>高所</v>
      </c>
      <c r="D30" s="131"/>
      <c r="E30" s="132"/>
      <c r="F30" s="133"/>
      <c r="G30" s="134">
        <f t="shared" si="4"/>
        <v>0</v>
      </c>
      <c r="H30" s="45"/>
      <c r="I30" s="135"/>
      <c r="J30" s="94"/>
      <c r="K30" s="117"/>
      <c r="L30" s="136"/>
      <c r="M30" s="94"/>
      <c r="N30" s="117"/>
      <c r="O30" s="136"/>
      <c r="P30" s="94"/>
      <c r="Q30" s="117"/>
      <c r="R30" s="136"/>
      <c r="S30" s="94"/>
      <c r="T30" s="117"/>
      <c r="U30" s="136"/>
      <c r="V30" s="94"/>
      <c r="W30" s="117"/>
      <c r="X30" s="136"/>
      <c r="Y30" s="98"/>
      <c r="Z30" s="98"/>
      <c r="AB30" s="72"/>
      <c r="AC30" s="258"/>
      <c r="AD30" s="73"/>
    </row>
    <row r="31" spans="2:32" ht="19.5" customHeight="1">
      <c r="B31" s="366" t="s">
        <v>42</v>
      </c>
      <c r="C31" s="138" t="s">
        <v>43</v>
      </c>
      <c r="D31" s="139">
        <v>45038</v>
      </c>
      <c r="E31" s="256" t="s">
        <v>685</v>
      </c>
      <c r="F31" s="141">
        <v>30</v>
      </c>
      <c r="G31" s="142">
        <f t="shared" si="4"/>
        <v>12</v>
      </c>
      <c r="H31" s="45"/>
      <c r="I31" s="143">
        <f t="shared" ref="I31:I37" si="5">SUM(J31:X31)</f>
        <v>18</v>
      </c>
      <c r="J31" s="386">
        <f>1+1+3+1+1-1</f>
        <v>6</v>
      </c>
      <c r="K31" s="387"/>
      <c r="L31" s="388"/>
      <c r="M31" s="386">
        <f>2+2</f>
        <v>4</v>
      </c>
      <c r="N31" s="387"/>
      <c r="O31" s="389"/>
      <c r="P31" s="386">
        <f>1+1+1+2+3</f>
        <v>8</v>
      </c>
      <c r="Q31" s="387"/>
      <c r="R31" s="388"/>
      <c r="S31" s="386"/>
      <c r="T31" s="387"/>
      <c r="U31" s="388"/>
      <c r="V31" s="386"/>
      <c r="W31" s="387"/>
      <c r="X31" s="388"/>
      <c r="Y31" s="144">
        <v>45034</v>
      </c>
      <c r="Z31" s="144"/>
      <c r="AA31" s="144"/>
      <c r="AB31" s="145"/>
      <c r="AC31" s="52" t="s">
        <v>769</v>
      </c>
      <c r="AD31" s="147" t="s">
        <v>727</v>
      </c>
    </row>
    <row r="32" spans="2:32" ht="19.5" customHeight="1">
      <c r="B32" s="339"/>
      <c r="C32" s="148" t="s">
        <v>45</v>
      </c>
      <c r="D32" s="41">
        <v>45114</v>
      </c>
      <c r="E32" s="42" t="s">
        <v>684</v>
      </c>
      <c r="F32" s="56">
        <v>40</v>
      </c>
      <c r="G32" s="83">
        <f t="shared" si="4"/>
        <v>0</v>
      </c>
      <c r="H32" s="45"/>
      <c r="I32" s="57">
        <f t="shared" si="5"/>
        <v>40</v>
      </c>
      <c r="J32" s="346">
        <f>1+1+1+2-1+1+2+3+1+1-1+2+2+1+1+2+1+1+2+2-2-1+1</f>
        <v>23</v>
      </c>
      <c r="K32" s="347"/>
      <c r="L32" s="348"/>
      <c r="M32" s="346">
        <f>2+1+1+1+1+1+2</f>
        <v>9</v>
      </c>
      <c r="N32" s="347"/>
      <c r="O32" s="348"/>
      <c r="P32" s="346">
        <f>3+2+1+1+1</f>
        <v>8</v>
      </c>
      <c r="Q32" s="347"/>
      <c r="R32" s="348"/>
      <c r="S32" s="346"/>
      <c r="T32" s="347"/>
      <c r="U32" s="348"/>
      <c r="V32" s="346"/>
      <c r="W32" s="347"/>
      <c r="X32" s="348"/>
      <c r="Y32" s="50">
        <v>45117</v>
      </c>
      <c r="Z32" s="50"/>
      <c r="AB32" s="51"/>
      <c r="AC32" s="52" t="s">
        <v>762</v>
      </c>
      <c r="AD32" s="149" t="s">
        <v>728</v>
      </c>
    </row>
    <row r="33" spans="1:30" ht="19.5" customHeight="1">
      <c r="B33" s="339"/>
      <c r="C33" s="148" t="s">
        <v>45</v>
      </c>
      <c r="D33" s="41">
        <v>45192</v>
      </c>
      <c r="E33" s="202" t="s">
        <v>685</v>
      </c>
      <c r="F33" s="56">
        <v>30</v>
      </c>
      <c r="G33" s="83">
        <f t="shared" si="4"/>
        <v>10</v>
      </c>
      <c r="H33" s="45"/>
      <c r="I33" s="57">
        <f t="shared" si="5"/>
        <v>20</v>
      </c>
      <c r="J33" s="346">
        <v>2</v>
      </c>
      <c r="K33" s="347"/>
      <c r="L33" s="348"/>
      <c r="M33" s="346">
        <f>1+2+2-1</f>
        <v>4</v>
      </c>
      <c r="N33" s="347"/>
      <c r="O33" s="348"/>
      <c r="P33" s="346">
        <f>1+1+1+1+3+4+1+1+1</f>
        <v>14</v>
      </c>
      <c r="Q33" s="347"/>
      <c r="R33" s="348"/>
      <c r="S33" s="346"/>
      <c r="T33" s="347"/>
      <c r="U33" s="348"/>
      <c r="V33" s="346"/>
      <c r="W33" s="347"/>
      <c r="X33" s="348"/>
      <c r="Y33" s="50">
        <v>45184</v>
      </c>
      <c r="Z33" s="302" t="s">
        <v>1127</v>
      </c>
      <c r="AB33" s="51"/>
      <c r="AC33" s="52" t="s">
        <v>769</v>
      </c>
      <c r="AD33" s="150" t="s">
        <v>727</v>
      </c>
    </row>
    <row r="34" spans="1:30" ht="19.5" customHeight="1">
      <c r="B34" s="339"/>
      <c r="C34" s="148" t="s">
        <v>45</v>
      </c>
      <c r="D34" s="63">
        <v>45247</v>
      </c>
      <c r="E34" s="42" t="s">
        <v>684</v>
      </c>
      <c r="F34" s="56">
        <v>40</v>
      </c>
      <c r="G34" s="83">
        <f t="shared" si="4"/>
        <v>7</v>
      </c>
      <c r="H34" s="45"/>
      <c r="I34" s="57">
        <f t="shared" si="5"/>
        <v>33</v>
      </c>
      <c r="J34" s="350">
        <f>1+1+2+1+2+1+1+1+1+3+1+1-1+1+1+4+1+3+2+2+1-1+1-1</f>
        <v>29</v>
      </c>
      <c r="K34" s="351"/>
      <c r="L34" s="348"/>
      <c r="M34" s="346">
        <f>1+1+2</f>
        <v>4</v>
      </c>
      <c r="N34" s="347"/>
      <c r="O34" s="352"/>
      <c r="P34" s="353">
        <f>1-1</f>
        <v>0</v>
      </c>
      <c r="Q34" s="354"/>
      <c r="R34" s="355"/>
      <c r="S34" s="115"/>
      <c r="T34" s="86"/>
      <c r="U34" s="151"/>
      <c r="V34" s="115"/>
      <c r="W34" s="86"/>
      <c r="X34" s="151"/>
      <c r="Y34" s="71">
        <v>45251</v>
      </c>
      <c r="Z34" s="71"/>
      <c r="AB34" s="115"/>
      <c r="AC34" s="52" t="s">
        <v>762</v>
      </c>
      <c r="AD34" s="149" t="s">
        <v>728</v>
      </c>
    </row>
    <row r="35" spans="1:30" ht="19.5" customHeight="1">
      <c r="B35" s="340"/>
      <c r="C35" s="152" t="s">
        <v>45</v>
      </c>
      <c r="D35" s="89">
        <v>45332</v>
      </c>
      <c r="E35" s="257" t="s">
        <v>685</v>
      </c>
      <c r="F35" s="133">
        <v>30</v>
      </c>
      <c r="G35" s="134">
        <f t="shared" si="4"/>
        <v>9</v>
      </c>
      <c r="H35" s="92"/>
      <c r="I35" s="135">
        <f t="shared" si="5"/>
        <v>21</v>
      </c>
      <c r="J35" s="356">
        <f>1+2+1+3+1</f>
        <v>8</v>
      </c>
      <c r="K35" s="357"/>
      <c r="L35" s="358"/>
      <c r="M35" s="356">
        <f>1+1</f>
        <v>2</v>
      </c>
      <c r="N35" s="357"/>
      <c r="O35" s="358"/>
      <c r="P35" s="356">
        <f>3+4+1+2+1</f>
        <v>11</v>
      </c>
      <c r="Q35" s="357"/>
      <c r="R35" s="358"/>
      <c r="S35" s="356"/>
      <c r="T35" s="357"/>
      <c r="U35" s="358"/>
      <c r="V35" s="356"/>
      <c r="W35" s="357"/>
      <c r="X35" s="358"/>
      <c r="Y35" s="98">
        <v>45322</v>
      </c>
      <c r="Z35" s="98"/>
      <c r="AA35" s="153"/>
      <c r="AB35" s="72"/>
      <c r="AC35" s="154" t="s">
        <v>769</v>
      </c>
      <c r="AD35" s="155" t="s">
        <v>727</v>
      </c>
    </row>
    <row r="36" spans="1:30" ht="19.5" customHeight="1">
      <c r="B36" s="349" t="s">
        <v>47</v>
      </c>
      <c r="C36" s="54" t="s">
        <v>1224</v>
      </c>
      <c r="D36" s="55">
        <v>45128</v>
      </c>
      <c r="E36" s="112" t="s">
        <v>684</v>
      </c>
      <c r="F36" s="56">
        <v>30</v>
      </c>
      <c r="G36" s="83">
        <f t="shared" si="4"/>
        <v>7</v>
      </c>
      <c r="H36" s="45"/>
      <c r="I36" s="57">
        <f t="shared" si="5"/>
        <v>23</v>
      </c>
      <c r="J36" s="359">
        <f>1+1+1+1+1+1+1+1+1+1+1+1-1-1-1+1-1+1-1</f>
        <v>9</v>
      </c>
      <c r="K36" s="360"/>
      <c r="L36" s="361"/>
      <c r="M36" s="359">
        <f>2+2+2-1</f>
        <v>5</v>
      </c>
      <c r="N36" s="360"/>
      <c r="O36" s="362"/>
      <c r="P36" s="359">
        <f>1+1+2+1+1+1+1+1</f>
        <v>9</v>
      </c>
      <c r="Q36" s="360"/>
      <c r="R36" s="361"/>
      <c r="S36" s="359"/>
      <c r="T36" s="360"/>
      <c r="U36" s="361"/>
      <c r="V36" s="359"/>
      <c r="W36" s="360"/>
      <c r="X36" s="361"/>
      <c r="Y36" s="61">
        <v>45128</v>
      </c>
      <c r="Z36" s="61"/>
      <c r="AB36" s="156"/>
      <c r="AC36" s="157" t="s">
        <v>762</v>
      </c>
      <c r="AD36" s="158" t="s">
        <v>765</v>
      </c>
    </row>
    <row r="37" spans="1:30" ht="19.5" customHeight="1">
      <c r="B37" s="340"/>
      <c r="C37" s="88" t="s">
        <v>1224</v>
      </c>
      <c r="D37" s="89">
        <v>45252</v>
      </c>
      <c r="E37" s="42" t="s">
        <v>684</v>
      </c>
      <c r="F37" s="95">
        <v>45</v>
      </c>
      <c r="G37" s="83">
        <f t="shared" si="4"/>
        <v>6</v>
      </c>
      <c r="H37" s="45"/>
      <c r="I37" s="159">
        <f t="shared" si="5"/>
        <v>39</v>
      </c>
      <c r="J37" s="437">
        <f>1+1+1+2+1+2+1+1+1+1+1+1+1+11+1+1+3-1</f>
        <v>30</v>
      </c>
      <c r="K37" s="438"/>
      <c r="L37" s="439"/>
      <c r="M37" s="363">
        <f>2+1</f>
        <v>3</v>
      </c>
      <c r="N37" s="364"/>
      <c r="O37" s="371"/>
      <c r="P37" s="363">
        <f>1+1+1+2+1+1-1</f>
        <v>6</v>
      </c>
      <c r="Q37" s="364"/>
      <c r="R37" s="365"/>
      <c r="S37" s="363"/>
      <c r="T37" s="364"/>
      <c r="U37" s="365"/>
      <c r="V37" s="363"/>
      <c r="W37" s="364"/>
      <c r="X37" s="365"/>
      <c r="Y37" s="71">
        <v>45238</v>
      </c>
      <c r="Z37" s="71"/>
      <c r="AB37" s="72"/>
      <c r="AC37" s="62" t="s">
        <v>987</v>
      </c>
      <c r="AD37" s="53" t="s">
        <v>988</v>
      </c>
    </row>
    <row r="38" spans="1:30" ht="19.5" customHeight="1">
      <c r="B38" s="160"/>
      <c r="C38" s="7"/>
      <c r="D38" s="161"/>
      <c r="E38" s="102"/>
      <c r="F38" s="123"/>
      <c r="G38" s="124" t="s">
        <v>5</v>
      </c>
      <c r="H38" s="162"/>
      <c r="I38" s="125" t="s">
        <v>6</v>
      </c>
      <c r="J38" s="341" t="s">
        <v>7</v>
      </c>
      <c r="K38" s="342"/>
      <c r="L38" s="343"/>
      <c r="M38" s="341" t="s">
        <v>8</v>
      </c>
      <c r="N38" s="342"/>
      <c r="O38" s="344"/>
      <c r="P38" s="341" t="s">
        <v>9</v>
      </c>
      <c r="Q38" s="342"/>
      <c r="R38" s="343"/>
      <c r="S38" s="341"/>
      <c r="T38" s="342"/>
      <c r="U38" s="343"/>
      <c r="V38" s="341"/>
      <c r="W38" s="342"/>
      <c r="X38" s="343"/>
      <c r="Y38" s="163" t="s">
        <v>11</v>
      </c>
      <c r="Z38" s="163"/>
      <c r="AA38" s="153"/>
      <c r="AB38" s="164" t="s">
        <v>13</v>
      </c>
      <c r="AC38" s="165"/>
      <c r="AD38" s="165"/>
    </row>
    <row r="39" spans="1:30" ht="22.5" customHeight="1">
      <c r="B39" s="349" t="s">
        <v>49</v>
      </c>
      <c r="C39" s="54" t="s">
        <v>859</v>
      </c>
      <c r="D39" s="139">
        <v>45041</v>
      </c>
      <c r="E39" s="112" t="s">
        <v>684</v>
      </c>
      <c r="F39" s="166">
        <v>40</v>
      </c>
      <c r="G39" s="83">
        <f t="shared" ref="G39:G48" si="6">F39-I39</f>
        <v>7</v>
      </c>
      <c r="H39" s="3"/>
      <c r="I39" s="156">
        <f t="shared" ref="I39:I55" si="7">SUM(J39:X39)</f>
        <v>33</v>
      </c>
      <c r="J39" s="390">
        <f>3+2+1+1+1+2+2+1+1+1+1+2+3+1</f>
        <v>22</v>
      </c>
      <c r="K39" s="390"/>
      <c r="L39" s="390"/>
      <c r="M39" s="390">
        <v>1</v>
      </c>
      <c r="N39" s="390"/>
      <c r="O39" s="391"/>
      <c r="P39" s="390">
        <f>7+2+2-2+2-1</f>
        <v>10</v>
      </c>
      <c r="Q39" s="390"/>
      <c r="R39" s="390"/>
      <c r="S39" s="390"/>
      <c r="T39" s="390"/>
      <c r="U39" s="390"/>
      <c r="V39" s="390"/>
      <c r="W39" s="390"/>
      <c r="X39" s="390"/>
      <c r="Y39" s="167">
        <v>45030</v>
      </c>
      <c r="Z39" s="167" t="s">
        <v>1032</v>
      </c>
      <c r="AB39" s="156"/>
      <c r="AC39" s="62" t="s">
        <v>987</v>
      </c>
      <c r="AD39" s="259"/>
    </row>
    <row r="40" spans="1:30" ht="19.5" customHeight="1">
      <c r="B40" s="339"/>
      <c r="C40" s="54" t="s">
        <v>859</v>
      </c>
      <c r="D40" s="55">
        <v>45114</v>
      </c>
      <c r="E40" s="202" t="s">
        <v>686</v>
      </c>
      <c r="F40" s="166">
        <v>40</v>
      </c>
      <c r="G40" s="83">
        <f t="shared" si="6"/>
        <v>16</v>
      </c>
      <c r="H40" s="3"/>
      <c r="I40" s="51">
        <f t="shared" si="7"/>
        <v>24</v>
      </c>
      <c r="J40" s="346">
        <f>2+1-1+1+4+2+1+2-2+1-1</f>
        <v>10</v>
      </c>
      <c r="K40" s="347"/>
      <c r="L40" s="352"/>
      <c r="M40" s="346">
        <f>2+2+4+2+1</f>
        <v>11</v>
      </c>
      <c r="N40" s="347"/>
      <c r="O40" s="352"/>
      <c r="P40" s="346">
        <f>2+1</f>
        <v>3</v>
      </c>
      <c r="Q40" s="347"/>
      <c r="R40" s="352"/>
      <c r="S40" s="346"/>
      <c r="T40" s="347"/>
      <c r="U40" s="352"/>
      <c r="V40" s="346"/>
      <c r="W40" s="347"/>
      <c r="X40" s="352"/>
      <c r="Y40" s="167">
        <v>45110</v>
      </c>
      <c r="Z40" s="167"/>
      <c r="AB40" s="156"/>
      <c r="AC40" s="62" t="s">
        <v>768</v>
      </c>
      <c r="AD40" s="260"/>
    </row>
    <row r="41" spans="1:30" ht="18" customHeight="1">
      <c r="B41" s="339"/>
      <c r="C41" s="54" t="s">
        <v>859</v>
      </c>
      <c r="D41" s="251">
        <v>45205</v>
      </c>
      <c r="E41" s="42" t="s">
        <v>684</v>
      </c>
      <c r="F41" s="169">
        <v>40</v>
      </c>
      <c r="G41" s="83">
        <f t="shared" si="6"/>
        <v>22</v>
      </c>
      <c r="H41" s="3"/>
      <c r="I41" s="51">
        <f t="shared" si="7"/>
        <v>18</v>
      </c>
      <c r="J41" s="376">
        <v>8</v>
      </c>
      <c r="K41" s="376"/>
      <c r="L41" s="376"/>
      <c r="M41" s="376">
        <v>2</v>
      </c>
      <c r="N41" s="376"/>
      <c r="O41" s="377"/>
      <c r="P41" s="376">
        <f>1+2+1+4</f>
        <v>8</v>
      </c>
      <c r="Q41" s="376"/>
      <c r="R41" s="376"/>
      <c r="S41" s="376"/>
      <c r="T41" s="376"/>
      <c r="U41" s="376"/>
      <c r="V41" s="376"/>
      <c r="W41" s="376"/>
      <c r="X41" s="376"/>
      <c r="Y41" s="170">
        <v>45184</v>
      </c>
      <c r="Z41" s="170"/>
      <c r="AB41" s="51"/>
      <c r="AC41" s="62" t="s">
        <v>987</v>
      </c>
      <c r="AD41" s="261"/>
    </row>
    <row r="42" spans="1:30" ht="19.5" customHeight="1">
      <c r="B42" s="339"/>
      <c r="C42" s="54" t="s">
        <v>859</v>
      </c>
      <c r="D42" s="41">
        <v>45317</v>
      </c>
      <c r="E42" s="202" t="s">
        <v>685</v>
      </c>
      <c r="F42" s="169">
        <v>40</v>
      </c>
      <c r="G42" s="83">
        <f t="shared" si="6"/>
        <v>32</v>
      </c>
      <c r="H42" s="3"/>
      <c r="I42" s="51">
        <f t="shared" si="7"/>
        <v>8</v>
      </c>
      <c r="J42" s="376">
        <f>1+1+1</f>
        <v>3</v>
      </c>
      <c r="K42" s="376"/>
      <c r="L42" s="376"/>
      <c r="M42" s="376">
        <f>1+1</f>
        <v>2</v>
      </c>
      <c r="N42" s="376"/>
      <c r="O42" s="377"/>
      <c r="P42" s="376">
        <f>2+1</f>
        <v>3</v>
      </c>
      <c r="Q42" s="376"/>
      <c r="R42" s="376"/>
      <c r="S42" s="376"/>
      <c r="T42" s="376"/>
      <c r="U42" s="376"/>
      <c r="V42" s="376"/>
      <c r="W42" s="376"/>
      <c r="X42" s="376"/>
      <c r="Y42" s="170">
        <v>45314</v>
      </c>
      <c r="Z42" s="170"/>
      <c r="AB42" s="51"/>
      <c r="AC42" s="154" t="s">
        <v>769</v>
      </c>
      <c r="AD42" s="261"/>
    </row>
    <row r="43" spans="1:30" ht="18" hidden="1" customHeight="1">
      <c r="B43" s="339"/>
      <c r="C43" s="54" t="str">
        <f>B39</f>
        <v>ﾌﾙ･ﾊｰﾈｽ</v>
      </c>
      <c r="D43" s="251"/>
      <c r="E43" s="42" t="s">
        <v>684</v>
      </c>
      <c r="F43" s="169">
        <v>33</v>
      </c>
      <c r="G43" s="83">
        <f t="shared" si="6"/>
        <v>33</v>
      </c>
      <c r="H43" s="3"/>
      <c r="I43" s="51">
        <f t="shared" si="7"/>
        <v>0</v>
      </c>
      <c r="J43" s="376"/>
      <c r="K43" s="376"/>
      <c r="L43" s="376"/>
      <c r="M43" s="376"/>
      <c r="N43" s="376"/>
      <c r="O43" s="377"/>
      <c r="P43" s="376"/>
      <c r="Q43" s="376"/>
      <c r="R43" s="376"/>
      <c r="S43" s="376"/>
      <c r="T43" s="376"/>
      <c r="U43" s="376"/>
      <c r="V43" s="376"/>
      <c r="W43" s="376"/>
      <c r="X43" s="376"/>
      <c r="Y43" s="170"/>
      <c r="Z43" s="170"/>
      <c r="AB43" s="51"/>
      <c r="AC43" s="52"/>
      <c r="AD43" s="261"/>
    </row>
    <row r="44" spans="1:30" ht="19.5" hidden="1" customHeight="1">
      <c r="A44" s="2" t="s">
        <v>51</v>
      </c>
      <c r="B44" s="339"/>
      <c r="C44" s="54" t="str">
        <f>B39</f>
        <v>ﾌﾙ･ﾊｰﾈｽ</v>
      </c>
      <c r="D44" s="41"/>
      <c r="E44" s="42" t="s">
        <v>684</v>
      </c>
      <c r="F44" s="56">
        <v>40</v>
      </c>
      <c r="G44" s="83">
        <f t="shared" si="6"/>
        <v>40</v>
      </c>
      <c r="H44" s="3"/>
      <c r="I44" s="51">
        <f t="shared" si="7"/>
        <v>0</v>
      </c>
      <c r="J44" s="376"/>
      <c r="K44" s="376"/>
      <c r="L44" s="376"/>
      <c r="M44" s="376"/>
      <c r="N44" s="376"/>
      <c r="O44" s="377"/>
      <c r="P44" s="376"/>
      <c r="Q44" s="376"/>
      <c r="R44" s="376"/>
      <c r="S44" s="376"/>
      <c r="T44" s="376"/>
      <c r="U44" s="376"/>
      <c r="V44" s="376"/>
      <c r="W44" s="376"/>
      <c r="X44" s="376"/>
      <c r="Y44" s="170"/>
      <c r="Z44" s="170"/>
      <c r="AB44" s="51"/>
      <c r="AC44" s="52"/>
      <c r="AD44" s="261"/>
    </row>
    <row r="45" spans="1:30" hidden="1">
      <c r="B45" s="339"/>
      <c r="C45" s="54" t="str">
        <f>B39</f>
        <v>ﾌﾙ･ﾊｰﾈｽ</v>
      </c>
      <c r="D45" s="41"/>
      <c r="E45" s="202" t="s">
        <v>685</v>
      </c>
      <c r="F45" s="169">
        <v>40</v>
      </c>
      <c r="G45" s="83">
        <f t="shared" si="6"/>
        <v>40</v>
      </c>
      <c r="H45" s="3"/>
      <c r="I45" s="51">
        <f t="shared" si="7"/>
        <v>0</v>
      </c>
      <c r="J45" s="376"/>
      <c r="K45" s="376"/>
      <c r="L45" s="376"/>
      <c r="M45" s="376"/>
      <c r="N45" s="376"/>
      <c r="O45" s="377"/>
      <c r="P45" s="376"/>
      <c r="Q45" s="376"/>
      <c r="R45" s="376"/>
      <c r="S45" s="376"/>
      <c r="T45" s="376"/>
      <c r="U45" s="376"/>
      <c r="V45" s="376"/>
      <c r="W45" s="376"/>
      <c r="X45" s="376"/>
      <c r="Y45" s="170"/>
      <c r="Z45" s="170"/>
      <c r="AB45" s="51"/>
      <c r="AC45" s="62"/>
      <c r="AD45" s="261"/>
    </row>
    <row r="46" spans="1:30" ht="22" customHeight="1">
      <c r="B46" s="366" t="s">
        <v>52</v>
      </c>
      <c r="C46" s="17" t="s">
        <v>1225</v>
      </c>
      <c r="D46" s="139">
        <v>45065</v>
      </c>
      <c r="E46" s="140" t="s">
        <v>684</v>
      </c>
      <c r="F46" s="141">
        <v>40</v>
      </c>
      <c r="G46" s="142">
        <f t="shared" si="6"/>
        <v>28</v>
      </c>
      <c r="H46" s="3"/>
      <c r="I46" s="143">
        <f t="shared" si="7"/>
        <v>12</v>
      </c>
      <c r="J46" s="386">
        <f>1+1+1+1+1+3+1+2+1-1</f>
        <v>11</v>
      </c>
      <c r="K46" s="387"/>
      <c r="L46" s="388"/>
      <c r="M46" s="386">
        <v>1</v>
      </c>
      <c r="N46" s="387"/>
      <c r="O46" s="389"/>
      <c r="P46" s="386"/>
      <c r="Q46" s="387"/>
      <c r="R46" s="388"/>
      <c r="S46" s="386"/>
      <c r="T46" s="387"/>
      <c r="U46" s="388"/>
      <c r="V46" s="386"/>
      <c r="W46" s="387"/>
      <c r="X46" s="388"/>
      <c r="Y46" s="144">
        <v>45054</v>
      </c>
      <c r="Z46" s="144"/>
      <c r="AB46" s="145"/>
      <c r="AC46" s="62" t="s">
        <v>987</v>
      </c>
      <c r="AD46" s="259"/>
    </row>
    <row r="47" spans="1:30" ht="19.5" customHeight="1">
      <c r="B47" s="381"/>
      <c r="C47" s="176" t="s">
        <v>1225</v>
      </c>
      <c r="D47" s="41">
        <v>45133</v>
      </c>
      <c r="E47" s="202" t="s">
        <v>686</v>
      </c>
      <c r="F47" s="43">
        <v>20</v>
      </c>
      <c r="G47" s="44">
        <f t="shared" si="6"/>
        <v>10</v>
      </c>
      <c r="H47" s="3"/>
      <c r="I47" s="46">
        <f t="shared" si="7"/>
        <v>10</v>
      </c>
      <c r="J47" s="346">
        <f>1+1+1</f>
        <v>3</v>
      </c>
      <c r="K47" s="347"/>
      <c r="L47" s="352"/>
      <c r="M47" s="346">
        <f>4+1+2-1</f>
        <v>6</v>
      </c>
      <c r="N47" s="347"/>
      <c r="O47" s="348"/>
      <c r="P47" s="346">
        <v>1</v>
      </c>
      <c r="Q47" s="347"/>
      <c r="R47" s="352"/>
      <c r="S47" s="346"/>
      <c r="T47" s="347"/>
      <c r="U47" s="352"/>
      <c r="V47" s="346"/>
      <c r="W47" s="347"/>
      <c r="X47" s="352"/>
      <c r="Y47" s="50">
        <v>45114</v>
      </c>
      <c r="Z47" s="50"/>
      <c r="AB47" s="51"/>
      <c r="AC47" s="62" t="s">
        <v>768</v>
      </c>
      <c r="AD47" s="261"/>
    </row>
    <row r="48" spans="1:30" ht="19.5" customHeight="1">
      <c r="B48" s="340"/>
      <c r="C48" s="132" t="s">
        <v>1225</v>
      </c>
      <c r="D48" s="89">
        <v>45261</v>
      </c>
      <c r="E48" s="90" t="s">
        <v>684</v>
      </c>
      <c r="F48" s="95">
        <v>40</v>
      </c>
      <c r="G48" s="91">
        <f t="shared" si="6"/>
        <v>29</v>
      </c>
      <c r="H48" s="3"/>
      <c r="I48" s="93">
        <f t="shared" si="7"/>
        <v>11</v>
      </c>
      <c r="J48" s="356">
        <f>2+1+1+1+1+1-1+1+1-1</f>
        <v>7</v>
      </c>
      <c r="K48" s="357"/>
      <c r="L48" s="378"/>
      <c r="M48" s="356">
        <f>1+1+2</f>
        <v>4</v>
      </c>
      <c r="N48" s="357"/>
      <c r="O48" s="358"/>
      <c r="P48" s="356"/>
      <c r="Q48" s="357"/>
      <c r="R48" s="378"/>
      <c r="S48" s="356"/>
      <c r="T48" s="357"/>
      <c r="U48" s="378"/>
      <c r="V48" s="356"/>
      <c r="W48" s="357"/>
      <c r="X48" s="378"/>
      <c r="Y48" s="98">
        <v>45257</v>
      </c>
      <c r="Z48" s="98"/>
      <c r="AB48" s="72"/>
      <c r="AC48" s="299" t="s">
        <v>987</v>
      </c>
      <c r="AD48" s="262"/>
    </row>
    <row r="49" spans="2:30" ht="19.5" customHeight="1">
      <c r="B49" s="366" t="s">
        <v>55</v>
      </c>
      <c r="C49" s="54" t="s">
        <v>56</v>
      </c>
      <c r="D49" s="55">
        <v>45121</v>
      </c>
      <c r="E49" s="112" t="s">
        <v>684</v>
      </c>
      <c r="F49" s="56">
        <v>40</v>
      </c>
      <c r="G49" s="83">
        <f t="shared" si="4"/>
        <v>30</v>
      </c>
      <c r="H49" s="45"/>
      <c r="I49" s="57">
        <f t="shared" si="7"/>
        <v>10</v>
      </c>
      <c r="J49" s="359">
        <f>1+2+1-1</f>
        <v>3</v>
      </c>
      <c r="K49" s="360"/>
      <c r="L49" s="361"/>
      <c r="M49" s="359"/>
      <c r="N49" s="360"/>
      <c r="O49" s="362"/>
      <c r="P49" s="359">
        <f>2+2+1+1+1+1-1</f>
        <v>7</v>
      </c>
      <c r="Q49" s="360"/>
      <c r="R49" s="361"/>
      <c r="S49" s="359"/>
      <c r="T49" s="360"/>
      <c r="U49" s="361"/>
      <c r="V49" s="359"/>
      <c r="W49" s="360"/>
      <c r="X49" s="361"/>
      <c r="Y49" s="61">
        <v>45138</v>
      </c>
      <c r="Z49" s="61"/>
      <c r="AB49" s="156"/>
      <c r="AC49" s="241" t="s">
        <v>987</v>
      </c>
      <c r="AD49" s="260"/>
    </row>
    <row r="50" spans="2:30" ht="19.5" customHeight="1">
      <c r="B50" s="340"/>
      <c r="C50" s="88" t="s">
        <v>56</v>
      </c>
      <c r="D50" s="89">
        <v>45240</v>
      </c>
      <c r="E50" s="64" t="s">
        <v>684</v>
      </c>
      <c r="F50" s="95">
        <v>40</v>
      </c>
      <c r="G50" s="91">
        <f t="shared" si="4"/>
        <v>30</v>
      </c>
      <c r="H50" s="45"/>
      <c r="I50" s="135">
        <f t="shared" si="7"/>
        <v>10</v>
      </c>
      <c r="J50" s="356">
        <f>1+3+2</f>
        <v>6</v>
      </c>
      <c r="K50" s="357"/>
      <c r="L50" s="378"/>
      <c r="M50" s="356">
        <v>1</v>
      </c>
      <c r="N50" s="357"/>
      <c r="O50" s="358"/>
      <c r="P50" s="356">
        <f>2+1</f>
        <v>3</v>
      </c>
      <c r="Q50" s="357"/>
      <c r="R50" s="378"/>
      <c r="S50" s="356"/>
      <c r="T50" s="357"/>
      <c r="U50" s="378"/>
      <c r="V50" s="356"/>
      <c r="W50" s="357"/>
      <c r="X50" s="378"/>
      <c r="Y50" s="98">
        <v>45237</v>
      </c>
      <c r="Z50" s="98"/>
      <c r="AB50" s="72"/>
      <c r="AC50" s="137" t="s">
        <v>987</v>
      </c>
      <c r="AD50" s="262"/>
    </row>
    <row r="51" spans="2:30" ht="19.5" customHeight="1">
      <c r="B51" s="349" t="s">
        <v>1054</v>
      </c>
      <c r="C51" s="88" t="s">
        <v>1055</v>
      </c>
      <c r="D51" s="55">
        <v>45230</v>
      </c>
      <c r="E51" s="140" t="s">
        <v>684</v>
      </c>
      <c r="F51" s="204">
        <f>40+1</f>
        <v>41</v>
      </c>
      <c r="G51" s="44">
        <f t="shared" si="4"/>
        <v>2</v>
      </c>
      <c r="H51" s="45"/>
      <c r="I51" s="57">
        <f t="shared" si="7"/>
        <v>39</v>
      </c>
      <c r="J51" s="386">
        <f>2+2+1+1+1+2+1+1+1+1+1+5+2+3+1+1+1+1+1+1+1-1-1</f>
        <v>29</v>
      </c>
      <c r="K51" s="387"/>
      <c r="L51" s="388"/>
      <c r="M51" s="386">
        <f>5+1</f>
        <v>6</v>
      </c>
      <c r="N51" s="387"/>
      <c r="O51" s="388"/>
      <c r="P51" s="386">
        <f>2+1+1</f>
        <v>4</v>
      </c>
      <c r="Q51" s="387"/>
      <c r="R51" s="388"/>
      <c r="S51" s="386"/>
      <c r="T51" s="387"/>
      <c r="U51" s="388"/>
      <c r="V51" s="386"/>
      <c r="W51" s="387"/>
      <c r="X51" s="388"/>
      <c r="Y51" s="61">
        <v>45212</v>
      </c>
      <c r="Z51" s="61"/>
      <c r="AA51" s="301"/>
      <c r="AB51" s="51"/>
      <c r="AC51" s="157" t="s">
        <v>762</v>
      </c>
      <c r="AD51" s="261"/>
    </row>
    <row r="52" spans="2:30" ht="19.5" customHeight="1">
      <c r="B52" s="340"/>
      <c r="C52" s="88" t="s">
        <v>1055</v>
      </c>
      <c r="D52" s="89">
        <v>45279</v>
      </c>
      <c r="E52" s="90" t="s">
        <v>684</v>
      </c>
      <c r="F52" s="300">
        <v>100</v>
      </c>
      <c r="G52" s="91">
        <f t="shared" ref="G52" si="8">F52-I52</f>
        <v>7</v>
      </c>
      <c r="H52" s="45"/>
      <c r="I52" s="93">
        <f t="shared" si="7"/>
        <v>93</v>
      </c>
      <c r="J52" s="356">
        <f>2+1+1+1+2+1+1+1+1+1+1+1+1+1+1+1+1+1+1+1+1+1-1+3+1</f>
        <v>27</v>
      </c>
      <c r="K52" s="357"/>
      <c r="L52" s="378"/>
      <c r="M52" s="356">
        <f>30-8</f>
        <v>22</v>
      </c>
      <c r="N52" s="357"/>
      <c r="O52" s="378"/>
      <c r="P52" s="356">
        <f>1+2+1+1+1+2+2+1+1+1+1+1+3-3+2</f>
        <v>17</v>
      </c>
      <c r="Q52" s="357"/>
      <c r="R52" s="378"/>
      <c r="S52" s="356"/>
      <c r="T52" s="357"/>
      <c r="U52" s="378"/>
      <c r="V52" s="356">
        <f>19+11-3</f>
        <v>27</v>
      </c>
      <c r="W52" s="357"/>
      <c r="X52" s="378"/>
      <c r="Y52" s="98">
        <v>45267</v>
      </c>
      <c r="Z52" s="98"/>
      <c r="AA52" s="301"/>
      <c r="AB52" s="72"/>
      <c r="AC52" s="299" t="s">
        <v>1110</v>
      </c>
      <c r="AD52" s="262"/>
    </row>
    <row r="53" spans="2:30" ht="19.5" customHeight="1">
      <c r="B53" s="349" t="s">
        <v>1183</v>
      </c>
      <c r="C53" s="132" t="s">
        <v>1184</v>
      </c>
      <c r="D53" s="131">
        <v>45353</v>
      </c>
      <c r="E53" s="132" t="s">
        <v>684</v>
      </c>
      <c r="F53" s="133">
        <v>30</v>
      </c>
      <c r="G53" s="91">
        <f t="shared" ref="G53:G55" si="9">F53-I53</f>
        <v>3</v>
      </c>
      <c r="H53" s="45"/>
      <c r="I53" s="93">
        <f t="shared" si="7"/>
        <v>27</v>
      </c>
      <c r="J53" s="427">
        <f>4+2</f>
        <v>6</v>
      </c>
      <c r="K53" s="428"/>
      <c r="L53" s="429"/>
      <c r="M53" s="427">
        <f>1+2+3+2-3</f>
        <v>5</v>
      </c>
      <c r="N53" s="428"/>
      <c r="O53" s="429"/>
      <c r="P53" s="427">
        <f>5+2+5+1+1+1-1+2</f>
        <v>16</v>
      </c>
      <c r="Q53" s="428"/>
      <c r="R53" s="429"/>
      <c r="S53" s="427"/>
      <c r="T53" s="428"/>
      <c r="U53" s="429"/>
      <c r="V53" s="427"/>
      <c r="W53" s="428"/>
      <c r="X53" s="429"/>
      <c r="Y53" s="305">
        <v>45349</v>
      </c>
      <c r="Z53" s="305"/>
      <c r="AB53" s="51"/>
      <c r="AC53" s="310" t="s">
        <v>987</v>
      </c>
      <c r="AD53" s="308"/>
    </row>
    <row r="54" spans="2:30" ht="19.5" customHeight="1">
      <c r="B54" s="340"/>
      <c r="C54" s="132" t="s">
        <v>1184</v>
      </c>
      <c r="D54" s="131">
        <v>45380</v>
      </c>
      <c r="E54" s="132" t="s">
        <v>685</v>
      </c>
      <c r="F54" s="133">
        <v>60</v>
      </c>
      <c r="G54" s="91">
        <f t="shared" ref="G54" si="10">F54-I54</f>
        <v>46</v>
      </c>
      <c r="H54" s="45"/>
      <c r="I54" s="93">
        <f t="shared" ref="I54" si="11">SUM(J54:X54)</f>
        <v>14</v>
      </c>
      <c r="J54" s="427">
        <v>2</v>
      </c>
      <c r="K54" s="428"/>
      <c r="L54" s="429"/>
      <c r="M54" s="427">
        <v>1</v>
      </c>
      <c r="N54" s="428"/>
      <c r="O54" s="429"/>
      <c r="P54" s="427">
        <f>2+2+3-2+6</f>
        <v>11</v>
      </c>
      <c r="Q54" s="428"/>
      <c r="R54" s="429"/>
      <c r="S54" s="427"/>
      <c r="T54" s="428"/>
      <c r="U54" s="429"/>
      <c r="V54" s="427"/>
      <c r="W54" s="428"/>
      <c r="X54" s="429"/>
      <c r="Y54" s="305">
        <v>45365</v>
      </c>
      <c r="Z54" s="305"/>
      <c r="AB54" s="51"/>
      <c r="AC54" s="310"/>
      <c r="AD54" s="308"/>
    </row>
    <row r="55" spans="2:30" ht="19.5" customHeight="1">
      <c r="B55" s="306" t="s">
        <v>1181</v>
      </c>
      <c r="C55" s="307" t="s">
        <v>1182</v>
      </c>
      <c r="D55" s="224">
        <v>45338</v>
      </c>
      <c r="E55" s="202" t="s">
        <v>686</v>
      </c>
      <c r="F55" s="133">
        <v>30</v>
      </c>
      <c r="G55" s="91">
        <f t="shared" si="9"/>
        <v>0</v>
      </c>
      <c r="H55" s="45"/>
      <c r="I55" s="93">
        <f t="shared" si="7"/>
        <v>30</v>
      </c>
      <c r="J55" s="427">
        <f>3+2+1</f>
        <v>6</v>
      </c>
      <c r="K55" s="428"/>
      <c r="L55" s="429"/>
      <c r="M55" s="427">
        <f>10+2+1+2+1-3+3-1</f>
        <v>15</v>
      </c>
      <c r="N55" s="428"/>
      <c r="O55" s="429"/>
      <c r="P55" s="427">
        <f>1+2+1+2+1+2</f>
        <v>9</v>
      </c>
      <c r="Q55" s="428"/>
      <c r="R55" s="429"/>
      <c r="S55" s="427"/>
      <c r="T55" s="428"/>
      <c r="U55" s="429"/>
      <c r="V55" s="427"/>
      <c r="W55" s="428"/>
      <c r="X55" s="429"/>
      <c r="Y55" s="305">
        <v>45331</v>
      </c>
      <c r="Z55" s="305" t="s">
        <v>647</v>
      </c>
      <c r="AB55" s="72"/>
      <c r="AC55" s="310" t="s">
        <v>768</v>
      </c>
      <c r="AD55" s="309"/>
    </row>
    <row r="56" spans="2:30" ht="19.5" customHeight="1" thickBot="1">
      <c r="B56" s="120"/>
      <c r="C56" s="178"/>
      <c r="D56" s="179" t="s">
        <v>1226</v>
      </c>
      <c r="E56" s="102" t="s">
        <v>3</v>
      </c>
      <c r="F56" s="123" t="s">
        <v>4</v>
      </c>
      <c r="G56" s="180" t="s">
        <v>37</v>
      </c>
      <c r="H56" s="12"/>
      <c r="I56" s="181" t="s">
        <v>6</v>
      </c>
      <c r="J56" s="341" t="s">
        <v>7</v>
      </c>
      <c r="K56" s="342"/>
      <c r="L56" s="343"/>
      <c r="M56" s="341" t="s">
        <v>8</v>
      </c>
      <c r="N56" s="342"/>
      <c r="O56" s="344"/>
      <c r="P56" s="341" t="s">
        <v>9</v>
      </c>
      <c r="Q56" s="342"/>
      <c r="R56" s="343"/>
      <c r="S56" s="341"/>
      <c r="T56" s="342"/>
      <c r="U56" s="343"/>
      <c r="V56" s="341"/>
      <c r="W56" s="342"/>
      <c r="X56" s="343"/>
      <c r="Y56" s="304"/>
      <c r="Z56" s="125" t="str">
        <f>Z3</f>
        <v>キャンセル待ち</v>
      </c>
    </row>
    <row r="58" spans="2:30" hidden="1">
      <c r="B58" s="335" t="s">
        <v>1183</v>
      </c>
      <c r="C58" s="335" t="s">
        <v>1240</v>
      </c>
      <c r="D58" s="336">
        <v>45353</v>
      </c>
      <c r="E58" s="334" t="s">
        <v>3</v>
      </c>
      <c r="F58" s="125" t="s">
        <v>1198</v>
      </c>
      <c r="G58" s="163" t="s">
        <v>37</v>
      </c>
      <c r="H58" s="324"/>
      <c r="I58" s="125" t="s">
        <v>6</v>
      </c>
      <c r="J58" s="433" t="s">
        <v>7</v>
      </c>
      <c r="K58" s="434"/>
      <c r="L58" s="435"/>
      <c r="M58" s="341" t="s">
        <v>8</v>
      </c>
      <c r="N58" s="342"/>
      <c r="O58" s="344"/>
      <c r="P58" s="341" t="s">
        <v>9</v>
      </c>
      <c r="Q58" s="342"/>
      <c r="R58" s="343"/>
      <c r="S58" s="341"/>
      <c r="T58" s="342"/>
      <c r="U58" s="343"/>
      <c r="V58" s="341"/>
      <c r="W58" s="342"/>
      <c r="X58" s="343"/>
      <c r="Y58" s="304"/>
      <c r="Z58" s="125" t="str">
        <f>Z56</f>
        <v>キャンセル待ち</v>
      </c>
    </row>
    <row r="59" spans="2:30" hidden="1">
      <c r="B59" s="319">
        <v>0.375</v>
      </c>
      <c r="C59" s="320" t="s">
        <v>1191</v>
      </c>
      <c r="D59" s="321">
        <v>0.41666666666666669</v>
      </c>
      <c r="E59" s="428" t="s">
        <v>1199</v>
      </c>
      <c r="F59" s="320">
        <v>5</v>
      </c>
      <c r="G59" s="323">
        <f>F59-I59</f>
        <v>0</v>
      </c>
      <c r="H59" s="325"/>
      <c r="I59" s="322">
        <f t="shared" ref="I59:I65" si="12">SUM(J59:R59)</f>
        <v>5</v>
      </c>
      <c r="J59" s="421">
        <v>4</v>
      </c>
      <c r="K59" s="422"/>
      <c r="L59" s="423"/>
      <c r="M59" s="421">
        <v>1</v>
      </c>
      <c r="N59" s="422"/>
      <c r="O59" s="423"/>
      <c r="P59" s="421"/>
      <c r="Q59" s="422"/>
      <c r="R59" s="423"/>
      <c r="S59" s="421"/>
      <c r="T59" s="422"/>
      <c r="U59" s="423"/>
      <c r="V59" s="421"/>
      <c r="W59" s="422"/>
      <c r="X59" s="423"/>
      <c r="Y59" s="326"/>
      <c r="Z59" s="326"/>
    </row>
    <row r="60" spans="2:30" hidden="1">
      <c r="B60" s="319">
        <v>0.41666666666666669</v>
      </c>
      <c r="C60" s="320" t="s">
        <v>1191</v>
      </c>
      <c r="D60" s="321">
        <v>0.45833333333333331</v>
      </c>
      <c r="E60" s="428"/>
      <c r="F60" s="320">
        <v>5</v>
      </c>
      <c r="G60" s="323">
        <f t="shared" ref="G60:G65" si="13">F60-I60</f>
        <v>1</v>
      </c>
      <c r="H60" s="325"/>
      <c r="I60" s="322">
        <f t="shared" si="12"/>
        <v>4</v>
      </c>
      <c r="J60" s="421"/>
      <c r="K60" s="422"/>
      <c r="L60" s="423"/>
      <c r="M60" s="421">
        <f>2+1-1</f>
        <v>2</v>
      </c>
      <c r="N60" s="422"/>
      <c r="O60" s="423"/>
      <c r="P60" s="421">
        <v>2</v>
      </c>
      <c r="Q60" s="422"/>
      <c r="R60" s="423"/>
      <c r="S60" s="421"/>
      <c r="T60" s="422"/>
      <c r="U60" s="423"/>
      <c r="V60" s="421"/>
      <c r="W60" s="422"/>
      <c r="X60" s="423"/>
      <c r="Y60" s="326"/>
      <c r="Z60" s="326"/>
    </row>
    <row r="61" spans="2:30" hidden="1">
      <c r="B61" s="319">
        <v>0.45833333333333298</v>
      </c>
      <c r="C61" s="320" t="s">
        <v>1191</v>
      </c>
      <c r="D61" s="321">
        <v>0.5</v>
      </c>
      <c r="E61" s="428"/>
      <c r="F61" s="320">
        <v>5</v>
      </c>
      <c r="G61" s="323">
        <f t="shared" si="13"/>
        <v>0</v>
      </c>
      <c r="H61" s="325"/>
      <c r="I61" s="322">
        <f t="shared" si="12"/>
        <v>5</v>
      </c>
      <c r="J61" s="421"/>
      <c r="K61" s="422"/>
      <c r="L61" s="423"/>
      <c r="M61" s="421"/>
      <c r="N61" s="422"/>
      <c r="O61" s="423"/>
      <c r="P61" s="421">
        <v>5</v>
      </c>
      <c r="Q61" s="422"/>
      <c r="R61" s="423"/>
      <c r="S61" s="421"/>
      <c r="T61" s="422"/>
      <c r="U61" s="423"/>
      <c r="V61" s="421"/>
      <c r="W61" s="422"/>
      <c r="X61" s="423"/>
      <c r="Y61" s="333">
        <v>45355</v>
      </c>
      <c r="Z61" s="326"/>
    </row>
    <row r="62" spans="2:30" hidden="1">
      <c r="B62" s="319">
        <v>0.5</v>
      </c>
      <c r="C62" s="320" t="s">
        <v>1191</v>
      </c>
      <c r="D62" s="321">
        <v>0.54166666666666696</v>
      </c>
      <c r="E62" s="428"/>
      <c r="F62" s="327"/>
      <c r="G62" s="328"/>
      <c r="H62" s="325"/>
      <c r="I62" s="329"/>
      <c r="J62" s="430" t="s">
        <v>1192</v>
      </c>
      <c r="K62" s="431"/>
      <c r="L62" s="431"/>
      <c r="M62" s="431"/>
      <c r="N62" s="431"/>
      <c r="O62" s="431"/>
      <c r="P62" s="431"/>
      <c r="Q62" s="431"/>
      <c r="R62" s="432"/>
      <c r="S62" s="424"/>
      <c r="T62" s="425"/>
      <c r="U62" s="426"/>
      <c r="V62" s="424"/>
      <c r="W62" s="425"/>
      <c r="X62" s="426"/>
      <c r="Y62" s="330"/>
      <c r="Z62" s="330"/>
    </row>
    <row r="63" spans="2:30" hidden="1">
      <c r="B63" s="319">
        <v>0.54166666666666696</v>
      </c>
      <c r="C63" s="320" t="s">
        <v>1191</v>
      </c>
      <c r="D63" s="321">
        <v>0.58333333333333404</v>
      </c>
      <c r="E63" s="428"/>
      <c r="F63" s="320">
        <v>5</v>
      </c>
      <c r="G63" s="323">
        <f t="shared" si="13"/>
        <v>0</v>
      </c>
      <c r="H63" s="325"/>
      <c r="I63" s="322">
        <f t="shared" si="12"/>
        <v>5</v>
      </c>
      <c r="J63" s="421"/>
      <c r="K63" s="422"/>
      <c r="L63" s="423"/>
      <c r="M63" s="421"/>
      <c r="N63" s="422"/>
      <c r="O63" s="423"/>
      <c r="P63" s="421">
        <v>5</v>
      </c>
      <c r="Q63" s="422"/>
      <c r="R63" s="423"/>
      <c r="S63" s="421"/>
      <c r="T63" s="422"/>
      <c r="U63" s="423"/>
      <c r="V63" s="421"/>
      <c r="W63" s="422"/>
      <c r="X63" s="423"/>
      <c r="Y63" s="326"/>
      <c r="Z63" s="326"/>
    </row>
    <row r="64" spans="2:30" hidden="1">
      <c r="B64" s="319">
        <v>0.58333333333333304</v>
      </c>
      <c r="C64" s="320" t="s">
        <v>1191</v>
      </c>
      <c r="D64" s="321">
        <v>0.625</v>
      </c>
      <c r="E64" s="428"/>
      <c r="F64" s="320">
        <v>5</v>
      </c>
      <c r="G64" s="323">
        <f t="shared" si="13"/>
        <v>1</v>
      </c>
      <c r="H64" s="325"/>
      <c r="I64" s="322">
        <f t="shared" si="12"/>
        <v>4</v>
      </c>
      <c r="J64" s="421">
        <v>2</v>
      </c>
      <c r="K64" s="422"/>
      <c r="L64" s="423"/>
      <c r="M64" s="421">
        <f>2+2-2</f>
        <v>2</v>
      </c>
      <c r="N64" s="422"/>
      <c r="O64" s="423"/>
      <c r="P64" s="421">
        <f>1-1</f>
        <v>0</v>
      </c>
      <c r="Q64" s="422"/>
      <c r="R64" s="423"/>
      <c r="S64" s="421"/>
      <c r="T64" s="422"/>
      <c r="U64" s="423"/>
      <c r="V64" s="421"/>
      <c r="W64" s="422"/>
      <c r="X64" s="423"/>
      <c r="Y64" s="326"/>
      <c r="Z64" s="326"/>
    </row>
    <row r="65" spans="2:29" hidden="1">
      <c r="B65" s="319">
        <v>0.625</v>
      </c>
      <c r="C65" s="320" t="s">
        <v>1191</v>
      </c>
      <c r="D65" s="321">
        <v>0.66666666666666696</v>
      </c>
      <c r="E65" s="428"/>
      <c r="F65" s="320">
        <v>5</v>
      </c>
      <c r="G65" s="323">
        <f t="shared" si="13"/>
        <v>1</v>
      </c>
      <c r="H65" s="325"/>
      <c r="I65" s="322">
        <f t="shared" si="12"/>
        <v>4</v>
      </c>
      <c r="J65" s="421"/>
      <c r="K65" s="422"/>
      <c r="L65" s="423"/>
      <c r="M65" s="421"/>
      <c r="N65" s="422"/>
      <c r="O65" s="423"/>
      <c r="P65" s="421">
        <f>1+1+2</f>
        <v>4</v>
      </c>
      <c r="Q65" s="422"/>
      <c r="R65" s="423"/>
      <c r="S65" s="421"/>
      <c r="T65" s="422"/>
      <c r="U65" s="423"/>
      <c r="V65" s="421"/>
      <c r="W65" s="422"/>
      <c r="X65" s="423"/>
      <c r="Y65" s="333">
        <v>45355</v>
      </c>
      <c r="Z65" s="326"/>
    </row>
    <row r="66" spans="2:29" hidden="1">
      <c r="B66" s="319">
        <v>0.66666666666666696</v>
      </c>
      <c r="C66" s="320" t="s">
        <v>1191</v>
      </c>
      <c r="D66" s="321">
        <v>0.70833333333333404</v>
      </c>
      <c r="E66" s="428"/>
      <c r="F66" s="327">
        <v>0</v>
      </c>
      <c r="G66" s="328"/>
      <c r="H66" s="325"/>
      <c r="I66" s="329"/>
      <c r="J66" s="430" t="s">
        <v>1193</v>
      </c>
      <c r="K66" s="431"/>
      <c r="L66" s="431"/>
      <c r="M66" s="431"/>
      <c r="N66" s="431"/>
      <c r="O66" s="431"/>
      <c r="P66" s="431"/>
      <c r="Q66" s="431"/>
      <c r="R66" s="432"/>
      <c r="S66" s="424"/>
      <c r="T66" s="425"/>
      <c r="U66" s="426"/>
      <c r="V66" s="424"/>
      <c r="W66" s="425"/>
      <c r="X66" s="426"/>
      <c r="Y66" s="330"/>
      <c r="Z66" s="330"/>
    </row>
    <row r="67" spans="2:29" hidden="1">
      <c r="I67" s="326" t="s">
        <v>1201</v>
      </c>
      <c r="J67" s="436">
        <f>SUM(J63:L65,J59:L61)</f>
        <v>6</v>
      </c>
      <c r="K67" s="436"/>
      <c r="L67" s="436"/>
      <c r="M67" s="436">
        <f>SUM(M63:O65,M59:O61)</f>
        <v>5</v>
      </c>
      <c r="N67" s="436"/>
      <c r="O67" s="436"/>
      <c r="P67" s="436">
        <f>SUM(P63:R65,P59:R61)</f>
        <v>16</v>
      </c>
      <c r="Q67" s="436"/>
      <c r="R67" s="436"/>
    </row>
    <row r="69" spans="2:29" ht="15" customHeight="1">
      <c r="B69" s="335" t="s">
        <v>1183</v>
      </c>
      <c r="C69" s="335" t="s">
        <v>1240</v>
      </c>
      <c r="D69" s="336">
        <v>45380</v>
      </c>
      <c r="E69" s="334" t="s">
        <v>3</v>
      </c>
      <c r="F69" s="125" t="s">
        <v>1198</v>
      </c>
      <c r="G69" s="163" t="s">
        <v>37</v>
      </c>
      <c r="H69" s="324"/>
      <c r="I69" s="125" t="s">
        <v>6</v>
      </c>
      <c r="J69" s="433" t="s">
        <v>7</v>
      </c>
      <c r="K69" s="434"/>
      <c r="L69" s="435"/>
      <c r="M69" s="341" t="s">
        <v>8</v>
      </c>
      <c r="N69" s="342"/>
      <c r="O69" s="344"/>
      <c r="P69" s="341" t="s">
        <v>9</v>
      </c>
      <c r="Q69" s="342"/>
      <c r="R69" s="343"/>
      <c r="S69" s="341"/>
      <c r="T69" s="342"/>
      <c r="U69" s="343"/>
      <c r="V69" s="341"/>
      <c r="W69" s="342"/>
      <c r="X69" s="343"/>
      <c r="Y69" s="304"/>
      <c r="Z69" s="125" t="str">
        <f>Z58</f>
        <v>キャンセル待ち</v>
      </c>
      <c r="AB69" s="337"/>
      <c r="AC69" s="440" t="s">
        <v>1250</v>
      </c>
    </row>
    <row r="70" spans="2:29">
      <c r="B70" s="319">
        <v>0.375</v>
      </c>
      <c r="C70" s="320" t="s">
        <v>1191</v>
      </c>
      <c r="D70" s="321">
        <v>0.41666666666666669</v>
      </c>
      <c r="E70" s="428" t="s">
        <v>685</v>
      </c>
      <c r="F70" s="320">
        <v>5</v>
      </c>
      <c r="G70" s="323">
        <f>F70-I70</f>
        <v>0</v>
      </c>
      <c r="H70" s="325"/>
      <c r="I70" s="322">
        <f t="shared" ref="I70:I72" si="14">SUM(J70:R70)</f>
        <v>5</v>
      </c>
      <c r="J70" s="421"/>
      <c r="K70" s="422"/>
      <c r="L70" s="423"/>
      <c r="M70" s="421"/>
      <c r="N70" s="422"/>
      <c r="O70" s="423"/>
      <c r="P70" s="421">
        <f>2+3-2-1+3</f>
        <v>5</v>
      </c>
      <c r="Q70" s="422"/>
      <c r="R70" s="423"/>
      <c r="S70" s="421"/>
      <c r="T70" s="422"/>
      <c r="U70" s="423"/>
      <c r="V70" s="421"/>
      <c r="W70" s="422"/>
      <c r="X70" s="423"/>
      <c r="Y70" s="333">
        <v>45355</v>
      </c>
      <c r="Z70" s="326"/>
      <c r="AB70" s="325"/>
      <c r="AC70" s="441"/>
    </row>
    <row r="71" spans="2:29">
      <c r="B71" s="319">
        <v>0.41666666666666669</v>
      </c>
      <c r="C71" s="320" t="s">
        <v>1191</v>
      </c>
      <c r="D71" s="321">
        <v>0.45833333333333331</v>
      </c>
      <c r="E71" s="428"/>
      <c r="F71" s="320">
        <v>5</v>
      </c>
      <c r="G71" s="323">
        <f t="shared" ref="G71:G72" si="15">F71-I71</f>
        <v>1</v>
      </c>
      <c r="H71" s="325"/>
      <c r="I71" s="322">
        <f t="shared" si="14"/>
        <v>4</v>
      </c>
      <c r="J71" s="421">
        <v>2</v>
      </c>
      <c r="K71" s="422"/>
      <c r="L71" s="423"/>
      <c r="M71" s="421">
        <v>1</v>
      </c>
      <c r="N71" s="422"/>
      <c r="O71" s="423"/>
      <c r="P71" s="421">
        <v>1</v>
      </c>
      <c r="Q71" s="422"/>
      <c r="R71" s="423"/>
      <c r="S71" s="421"/>
      <c r="T71" s="422"/>
      <c r="U71" s="423"/>
      <c r="V71" s="421"/>
      <c r="W71" s="422"/>
      <c r="X71" s="423"/>
      <c r="Y71" s="333">
        <v>45365</v>
      </c>
      <c r="Z71" s="326"/>
      <c r="AB71" s="325"/>
      <c r="AC71" s="441"/>
    </row>
    <row r="72" spans="2:29">
      <c r="B72" s="319">
        <v>0.45833333333333298</v>
      </c>
      <c r="C72" s="320" t="s">
        <v>1191</v>
      </c>
      <c r="D72" s="321">
        <v>0.5</v>
      </c>
      <c r="E72" s="428"/>
      <c r="F72" s="320">
        <v>5</v>
      </c>
      <c r="G72" s="323">
        <f t="shared" si="15"/>
        <v>3</v>
      </c>
      <c r="H72" s="325"/>
      <c r="I72" s="322">
        <f t="shared" si="14"/>
        <v>2</v>
      </c>
      <c r="J72" s="421"/>
      <c r="K72" s="422"/>
      <c r="L72" s="423"/>
      <c r="M72" s="421"/>
      <c r="N72" s="422"/>
      <c r="O72" s="423"/>
      <c r="P72" s="421">
        <v>2</v>
      </c>
      <c r="Q72" s="422"/>
      <c r="R72" s="423"/>
      <c r="S72" s="421"/>
      <c r="T72" s="422"/>
      <c r="U72" s="423"/>
      <c r="V72" s="421"/>
      <c r="W72" s="422"/>
      <c r="X72" s="423"/>
      <c r="Y72" s="333">
        <v>45355</v>
      </c>
      <c r="Z72" s="326"/>
      <c r="AB72" s="325"/>
      <c r="AC72" s="441"/>
    </row>
    <row r="73" spans="2:29">
      <c r="B73" s="319">
        <v>0.5</v>
      </c>
      <c r="C73" s="320" t="s">
        <v>1191</v>
      </c>
      <c r="D73" s="321">
        <v>0.54166666666666696</v>
      </c>
      <c r="E73" s="428"/>
      <c r="F73" s="327"/>
      <c r="G73" s="328"/>
      <c r="H73" s="325"/>
      <c r="I73" s="329"/>
      <c r="J73" s="430" t="s">
        <v>1192</v>
      </c>
      <c r="K73" s="431"/>
      <c r="L73" s="431"/>
      <c r="M73" s="431"/>
      <c r="N73" s="431"/>
      <c r="O73" s="431"/>
      <c r="P73" s="431"/>
      <c r="Q73" s="431"/>
      <c r="R73" s="432"/>
      <c r="S73" s="424"/>
      <c r="T73" s="425"/>
      <c r="U73" s="426"/>
      <c r="V73" s="424"/>
      <c r="W73" s="425"/>
      <c r="X73" s="426"/>
      <c r="Y73" s="330"/>
      <c r="Z73" s="330"/>
      <c r="AB73" s="325"/>
      <c r="AC73" s="441"/>
    </row>
    <row r="74" spans="2:29">
      <c r="B74" s="319">
        <v>0.54166666666666696</v>
      </c>
      <c r="C74" s="320" t="s">
        <v>1191</v>
      </c>
      <c r="D74" s="321">
        <v>0.58333333333333404</v>
      </c>
      <c r="E74" s="428"/>
      <c r="F74" s="320">
        <v>5</v>
      </c>
      <c r="G74" s="323">
        <f t="shared" ref="G74:G76" si="16">F74-I74</f>
        <v>5</v>
      </c>
      <c r="H74" s="325"/>
      <c r="I74" s="322">
        <f t="shared" ref="I74:I76" si="17">SUM(J74:R74)</f>
        <v>0</v>
      </c>
      <c r="J74" s="421"/>
      <c r="K74" s="422"/>
      <c r="L74" s="423"/>
      <c r="M74" s="421"/>
      <c r="N74" s="422"/>
      <c r="O74" s="423"/>
      <c r="P74" s="421"/>
      <c r="Q74" s="422"/>
      <c r="R74" s="423"/>
      <c r="S74" s="421"/>
      <c r="T74" s="422"/>
      <c r="U74" s="423"/>
      <c r="V74" s="421"/>
      <c r="W74" s="422"/>
      <c r="X74" s="423"/>
      <c r="Y74" s="333"/>
      <c r="Z74" s="326"/>
      <c r="AB74" s="325"/>
      <c r="AC74" s="441"/>
    </row>
    <row r="75" spans="2:29">
      <c r="B75" s="319">
        <v>0.58333333333333304</v>
      </c>
      <c r="C75" s="320" t="s">
        <v>1191</v>
      </c>
      <c r="D75" s="321">
        <v>0.625</v>
      </c>
      <c r="E75" s="428"/>
      <c r="F75" s="320">
        <v>5</v>
      </c>
      <c r="G75" s="323">
        <f t="shared" si="16"/>
        <v>3</v>
      </c>
      <c r="H75" s="325"/>
      <c r="I75" s="322">
        <f t="shared" si="17"/>
        <v>2</v>
      </c>
      <c r="J75" s="421"/>
      <c r="K75" s="422"/>
      <c r="L75" s="423"/>
      <c r="M75" s="421"/>
      <c r="N75" s="422"/>
      <c r="O75" s="423"/>
      <c r="P75" s="421">
        <v>2</v>
      </c>
      <c r="Q75" s="422"/>
      <c r="R75" s="423"/>
      <c r="S75" s="421"/>
      <c r="T75" s="422"/>
      <c r="U75" s="423"/>
      <c r="V75" s="421"/>
      <c r="W75" s="422"/>
      <c r="X75" s="423"/>
      <c r="Y75" s="326"/>
      <c r="Z75" s="326"/>
      <c r="AB75" s="325"/>
      <c r="AC75" s="441"/>
    </row>
    <row r="76" spans="2:29">
      <c r="B76" s="319">
        <v>0.625</v>
      </c>
      <c r="C76" s="320" t="s">
        <v>1191</v>
      </c>
      <c r="D76" s="321">
        <v>0.66666666666666696</v>
      </c>
      <c r="E76" s="428"/>
      <c r="F76" s="320">
        <v>5</v>
      </c>
      <c r="G76" s="323">
        <f t="shared" si="16"/>
        <v>4</v>
      </c>
      <c r="H76" s="325"/>
      <c r="I76" s="322">
        <f t="shared" si="17"/>
        <v>1</v>
      </c>
      <c r="J76" s="421"/>
      <c r="K76" s="422"/>
      <c r="L76" s="423"/>
      <c r="M76" s="421"/>
      <c r="N76" s="422"/>
      <c r="O76" s="423"/>
      <c r="P76" s="421">
        <v>1</v>
      </c>
      <c r="Q76" s="422"/>
      <c r="R76" s="423"/>
      <c r="S76" s="421"/>
      <c r="T76" s="422"/>
      <c r="U76" s="423"/>
      <c r="V76" s="421"/>
      <c r="W76" s="422"/>
      <c r="X76" s="423"/>
      <c r="Y76" s="333">
        <v>45352</v>
      </c>
      <c r="Z76" s="326"/>
      <c r="AB76" s="325"/>
      <c r="AC76" s="441"/>
    </row>
    <row r="77" spans="2:29">
      <c r="B77" s="319">
        <v>0.66666666666666696</v>
      </c>
      <c r="C77" s="320" t="s">
        <v>1191</v>
      </c>
      <c r="D77" s="321">
        <v>0.70833333333333404</v>
      </c>
      <c r="E77" s="428"/>
      <c r="F77" s="327">
        <v>0</v>
      </c>
      <c r="G77" s="328"/>
      <c r="H77" s="325"/>
      <c r="I77" s="329"/>
      <c r="J77" s="430" t="s">
        <v>1193</v>
      </c>
      <c r="K77" s="431"/>
      <c r="L77" s="431"/>
      <c r="M77" s="431"/>
      <c r="N77" s="431"/>
      <c r="O77" s="431"/>
      <c r="P77" s="431"/>
      <c r="Q77" s="431"/>
      <c r="R77" s="432"/>
      <c r="S77" s="424"/>
      <c r="T77" s="425"/>
      <c r="U77" s="426"/>
      <c r="V77" s="424"/>
      <c r="W77" s="425"/>
      <c r="X77" s="426"/>
      <c r="Y77" s="330"/>
      <c r="Z77" s="330"/>
      <c r="AB77" s="338"/>
      <c r="AC77" s="442"/>
    </row>
    <row r="78" spans="2:29">
      <c r="F78" s="326">
        <f>SUM(F70:F77)</f>
        <v>30</v>
      </c>
      <c r="G78" s="323">
        <f>SUM(G70:G77)</f>
        <v>16</v>
      </c>
      <c r="I78" s="326" t="s">
        <v>1201</v>
      </c>
      <c r="J78" s="436">
        <f>SUM(J74:L76,J70:L72)</f>
        <v>2</v>
      </c>
      <c r="K78" s="436"/>
      <c r="L78" s="436"/>
      <c r="M78" s="436">
        <f>SUM(M74:O76,M70:O72)</f>
        <v>1</v>
      </c>
      <c r="N78" s="436"/>
      <c r="O78" s="436"/>
      <c r="P78" s="436">
        <f>SUM(P74:R76,P70:R72)</f>
        <v>11</v>
      </c>
      <c r="Q78" s="436"/>
      <c r="R78" s="436"/>
    </row>
  </sheetData>
  <mergeCells count="240">
    <mergeCell ref="AC69:AC77"/>
    <mergeCell ref="E59:E66"/>
    <mergeCell ref="J64:L64"/>
    <mergeCell ref="M64:O64"/>
    <mergeCell ref="P64:R64"/>
    <mergeCell ref="J65:L65"/>
    <mergeCell ref="M65:O65"/>
    <mergeCell ref="P65:R65"/>
    <mergeCell ref="J62:R62"/>
    <mergeCell ref="J66:R66"/>
    <mergeCell ref="J61:L61"/>
    <mergeCell ref="M61:O61"/>
    <mergeCell ref="P61:R61"/>
    <mergeCell ref="J63:L63"/>
    <mergeCell ref="M63:O63"/>
    <mergeCell ref="P63:R63"/>
    <mergeCell ref="P59:R59"/>
    <mergeCell ref="M59:O59"/>
    <mergeCell ref="J71:L71"/>
    <mergeCell ref="M71:O71"/>
    <mergeCell ref="P71:R71"/>
    <mergeCell ref="V71:X71"/>
    <mergeCell ref="V66:X66"/>
    <mergeCell ref="P70:R70"/>
    <mergeCell ref="M53:O53"/>
    <mergeCell ref="J53:L53"/>
    <mergeCell ref="J55:L55"/>
    <mergeCell ref="M55:O55"/>
    <mergeCell ref="P55:R55"/>
    <mergeCell ref="J54:L54"/>
    <mergeCell ref="M54:O54"/>
    <mergeCell ref="P54:R54"/>
    <mergeCell ref="P67:R67"/>
    <mergeCell ref="M67:O67"/>
    <mergeCell ref="J67:L67"/>
    <mergeCell ref="J58:L58"/>
    <mergeCell ref="M58:O58"/>
    <mergeCell ref="P58:R58"/>
    <mergeCell ref="J59:L59"/>
    <mergeCell ref="J60:L60"/>
    <mergeCell ref="M60:O60"/>
    <mergeCell ref="P60:R60"/>
    <mergeCell ref="V55:X55"/>
    <mergeCell ref="J56:L56"/>
    <mergeCell ref="M56:O56"/>
    <mergeCell ref="P56:R56"/>
    <mergeCell ref="V56:X56"/>
    <mergeCell ref="V53:X53"/>
    <mergeCell ref="P53:R53"/>
    <mergeCell ref="B49:B50"/>
    <mergeCell ref="J49:L49"/>
    <mergeCell ref="M49:O49"/>
    <mergeCell ref="P49:R49"/>
    <mergeCell ref="V49:X49"/>
    <mergeCell ref="J50:L50"/>
    <mergeCell ref="M50:O50"/>
    <mergeCell ref="P50:R50"/>
    <mergeCell ref="V50:X50"/>
    <mergeCell ref="J51:L51"/>
    <mergeCell ref="M51:O51"/>
    <mergeCell ref="P51:R51"/>
    <mergeCell ref="V51:X51"/>
    <mergeCell ref="J52:L52"/>
    <mergeCell ref="M52:O52"/>
    <mergeCell ref="P52:R52"/>
    <mergeCell ref="V52:X52"/>
    <mergeCell ref="B51:B52"/>
    <mergeCell ref="V45:X45"/>
    <mergeCell ref="J42:L42"/>
    <mergeCell ref="M42:O42"/>
    <mergeCell ref="P42:R42"/>
    <mergeCell ref="V42:X42"/>
    <mergeCell ref="J43:L43"/>
    <mergeCell ref="M43:O43"/>
    <mergeCell ref="P43:R43"/>
    <mergeCell ref="V43:X43"/>
    <mergeCell ref="B46:B48"/>
    <mergeCell ref="J46:L46"/>
    <mergeCell ref="M46:O46"/>
    <mergeCell ref="P46:R46"/>
    <mergeCell ref="V46:X46"/>
    <mergeCell ref="J47:L47"/>
    <mergeCell ref="M47:O47"/>
    <mergeCell ref="P47:R47"/>
    <mergeCell ref="V47:X47"/>
    <mergeCell ref="J48:L48"/>
    <mergeCell ref="M48:O48"/>
    <mergeCell ref="P48:R48"/>
    <mergeCell ref="V48:X48"/>
    <mergeCell ref="S48:U48"/>
    <mergeCell ref="J38:L38"/>
    <mergeCell ref="M38:O38"/>
    <mergeCell ref="P38:R38"/>
    <mergeCell ref="V38:X38"/>
    <mergeCell ref="M41:O41"/>
    <mergeCell ref="P41:R41"/>
    <mergeCell ref="V41:X41"/>
    <mergeCell ref="J40:L40"/>
    <mergeCell ref="B39:B45"/>
    <mergeCell ref="J39:L39"/>
    <mergeCell ref="M39:O39"/>
    <mergeCell ref="P39:R39"/>
    <mergeCell ref="V39:X39"/>
    <mergeCell ref="M40:O40"/>
    <mergeCell ref="P40:R40"/>
    <mergeCell ref="V40:X40"/>
    <mergeCell ref="J41:L41"/>
    <mergeCell ref="J44:L44"/>
    <mergeCell ref="M44:O44"/>
    <mergeCell ref="P44:R44"/>
    <mergeCell ref="V44:X44"/>
    <mergeCell ref="J45:L45"/>
    <mergeCell ref="M45:O45"/>
    <mergeCell ref="P45:R45"/>
    <mergeCell ref="J36:L36"/>
    <mergeCell ref="M36:O36"/>
    <mergeCell ref="P36:R36"/>
    <mergeCell ref="V36:X36"/>
    <mergeCell ref="J37:L37"/>
    <mergeCell ref="B31:B35"/>
    <mergeCell ref="J31:L31"/>
    <mergeCell ref="M31:O31"/>
    <mergeCell ref="P31:R31"/>
    <mergeCell ref="V31:X31"/>
    <mergeCell ref="J32:L32"/>
    <mergeCell ref="J34:L34"/>
    <mergeCell ref="M34:O34"/>
    <mergeCell ref="P34:R34"/>
    <mergeCell ref="J35:L35"/>
    <mergeCell ref="M35:O35"/>
    <mergeCell ref="P35:R35"/>
    <mergeCell ref="V35:X35"/>
    <mergeCell ref="M37:O37"/>
    <mergeCell ref="P37:R37"/>
    <mergeCell ref="V37:X37"/>
    <mergeCell ref="B36:B37"/>
    <mergeCell ref="S35:U35"/>
    <mergeCell ref="S36:U36"/>
    <mergeCell ref="B14:B20"/>
    <mergeCell ref="J3:L3"/>
    <mergeCell ref="M3:O3"/>
    <mergeCell ref="P3:R3"/>
    <mergeCell ref="V3:X3"/>
    <mergeCell ref="B6:B12"/>
    <mergeCell ref="V32:X32"/>
    <mergeCell ref="J33:L33"/>
    <mergeCell ref="B22:B25"/>
    <mergeCell ref="J26:L26"/>
    <mergeCell ref="M26:O26"/>
    <mergeCell ref="P26:R26"/>
    <mergeCell ref="V26:X26"/>
    <mergeCell ref="B28:B30"/>
    <mergeCell ref="M33:O33"/>
    <mergeCell ref="P33:R33"/>
    <mergeCell ref="V33:X33"/>
    <mergeCell ref="M32:O32"/>
    <mergeCell ref="P32:R32"/>
    <mergeCell ref="S3:U3"/>
    <mergeCell ref="S26:U26"/>
    <mergeCell ref="S31:U31"/>
    <mergeCell ref="S32:U32"/>
    <mergeCell ref="S33:U33"/>
    <mergeCell ref="V70:X70"/>
    <mergeCell ref="V69:X69"/>
    <mergeCell ref="S59:U59"/>
    <mergeCell ref="S60:U60"/>
    <mergeCell ref="S61:U61"/>
    <mergeCell ref="S62:U62"/>
    <mergeCell ref="S63:U63"/>
    <mergeCell ref="S64:U64"/>
    <mergeCell ref="S65:U65"/>
    <mergeCell ref="S66:U66"/>
    <mergeCell ref="S69:U69"/>
    <mergeCell ref="S70:U70"/>
    <mergeCell ref="J78:L78"/>
    <mergeCell ref="M78:O78"/>
    <mergeCell ref="P78:R78"/>
    <mergeCell ref="V74:X74"/>
    <mergeCell ref="J75:L75"/>
    <mergeCell ref="M75:O75"/>
    <mergeCell ref="P75:R75"/>
    <mergeCell ref="V75:X75"/>
    <mergeCell ref="J76:L76"/>
    <mergeCell ref="M76:O76"/>
    <mergeCell ref="P76:R76"/>
    <mergeCell ref="V76:X76"/>
    <mergeCell ref="J74:L74"/>
    <mergeCell ref="M74:O74"/>
    <mergeCell ref="P74:R74"/>
    <mergeCell ref="E70:E77"/>
    <mergeCell ref="J70:L70"/>
    <mergeCell ref="M70:O70"/>
    <mergeCell ref="J72:L72"/>
    <mergeCell ref="M72:O72"/>
    <mergeCell ref="P72:R72"/>
    <mergeCell ref="V72:X72"/>
    <mergeCell ref="B53:B54"/>
    <mergeCell ref="J77:R77"/>
    <mergeCell ref="V77:X77"/>
    <mergeCell ref="V54:X54"/>
    <mergeCell ref="J69:L69"/>
    <mergeCell ref="M69:O69"/>
    <mergeCell ref="P69:R69"/>
    <mergeCell ref="J73:R73"/>
    <mergeCell ref="V73:X73"/>
    <mergeCell ref="V58:X58"/>
    <mergeCell ref="V59:X59"/>
    <mergeCell ref="V60:X60"/>
    <mergeCell ref="V61:X61"/>
    <mergeCell ref="V62:X62"/>
    <mergeCell ref="V63:X63"/>
    <mergeCell ref="V64:X64"/>
    <mergeCell ref="V65:X65"/>
    <mergeCell ref="S37:U37"/>
    <mergeCell ref="S38:U38"/>
    <mergeCell ref="S39:U39"/>
    <mergeCell ref="S40:U40"/>
    <mergeCell ref="S41:U41"/>
    <mergeCell ref="S42:U42"/>
    <mergeCell ref="S43:U43"/>
    <mergeCell ref="S44:U44"/>
    <mergeCell ref="S45:U45"/>
    <mergeCell ref="S46:U46"/>
    <mergeCell ref="S47:U47"/>
    <mergeCell ref="S71:U71"/>
    <mergeCell ref="S72:U72"/>
    <mergeCell ref="S73:U73"/>
    <mergeCell ref="S74:U74"/>
    <mergeCell ref="S75:U75"/>
    <mergeCell ref="S76:U76"/>
    <mergeCell ref="S77:U77"/>
    <mergeCell ref="S49:U49"/>
    <mergeCell ref="S50:U50"/>
    <mergeCell ref="S51:U51"/>
    <mergeCell ref="S52:U52"/>
    <mergeCell ref="S53:U53"/>
    <mergeCell ref="S54:U54"/>
    <mergeCell ref="S55:U55"/>
    <mergeCell ref="S56:U56"/>
    <mergeCell ref="S58:U58"/>
  </mergeCells>
  <phoneticPr fontId="3"/>
  <conditionalFormatting sqref="G28:G33 G22:G23 G6:G12 G14:G20 G25:G26 G35 G49:G55">
    <cfRule type="cellIs" dxfId="26" priority="13" stopIfTrue="1" operator="lessThanOrEqual">
      <formula>3</formula>
    </cfRule>
  </conditionalFormatting>
  <conditionalFormatting sqref="G24">
    <cfRule type="cellIs" dxfId="25" priority="12" stopIfTrue="1" operator="lessThanOrEqual">
      <formula>3</formula>
    </cfRule>
  </conditionalFormatting>
  <conditionalFormatting sqref="G34">
    <cfRule type="cellIs" dxfId="24" priority="11" stopIfTrue="1" operator="lessThanOrEqual">
      <formula>3</formula>
    </cfRule>
  </conditionalFormatting>
  <conditionalFormatting sqref="G39">
    <cfRule type="cellIs" dxfId="23" priority="10" stopIfTrue="1" operator="lessThanOrEqual">
      <formula>3</formula>
    </cfRule>
  </conditionalFormatting>
  <conditionalFormatting sqref="G36:G37">
    <cfRule type="cellIs" dxfId="22" priority="9" stopIfTrue="1" operator="lessThanOrEqual">
      <formula>3</formula>
    </cfRule>
  </conditionalFormatting>
  <conditionalFormatting sqref="G44:G45">
    <cfRule type="cellIs" dxfId="21" priority="8" stopIfTrue="1" operator="lessThanOrEqual">
      <formula>3</formula>
    </cfRule>
  </conditionalFormatting>
  <conditionalFormatting sqref="G46 G48">
    <cfRule type="cellIs" dxfId="20" priority="7" stopIfTrue="1" operator="lessThanOrEqual">
      <formula>3</formula>
    </cfRule>
  </conditionalFormatting>
  <conditionalFormatting sqref="G41:G42">
    <cfRule type="cellIs" dxfId="19" priority="6" stopIfTrue="1" operator="lessThanOrEqual">
      <formula>3</formula>
    </cfRule>
  </conditionalFormatting>
  <conditionalFormatting sqref="G47">
    <cfRule type="cellIs" dxfId="18" priority="5" stopIfTrue="1" operator="lessThanOrEqual">
      <formula>3</formula>
    </cfRule>
  </conditionalFormatting>
  <conditionalFormatting sqref="G40">
    <cfRule type="cellIs" dxfId="17" priority="4" stopIfTrue="1" operator="lessThanOrEqual">
      <formula>3</formula>
    </cfRule>
  </conditionalFormatting>
  <conditionalFormatting sqref="G43">
    <cfRule type="cellIs" dxfId="16" priority="3" stopIfTrue="1" operator="lessThanOrEqual">
      <formula>3</formula>
    </cfRule>
  </conditionalFormatting>
  <conditionalFormatting sqref="G59:G61 G63:G65">
    <cfRule type="cellIs" dxfId="15" priority="2" operator="lessThan">
      <formula>2</formula>
    </cfRule>
  </conditionalFormatting>
  <conditionalFormatting sqref="G70:G72 G74:G76">
    <cfRule type="cellIs" dxfId="14" priority="1" operator="lessThan">
      <formula>2</formula>
    </cfRule>
  </conditionalFormatting>
  <pageMargins left="0.49" right="0.24" top="0.28999999999999998" bottom="0.24" header="0.23" footer="0.2"/>
  <pageSetup paperSize="9" scale="61" fitToWidth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7834F-2A8D-4FB0-B4E2-F25A663F059D}">
  <sheetPr codeName="Sheet15"/>
  <dimension ref="A1:T730"/>
  <sheetViews>
    <sheetView zoomScale="85" zoomScaleNormal="85" workbookViewId="0">
      <pane xSplit="1" ySplit="2" topLeftCell="B720" activePane="bottomRight" state="frozen"/>
      <selection activeCell="E82" sqref="E82:E89"/>
      <selection pane="topRight" activeCell="E82" sqref="E82:E89"/>
      <selection pane="bottomLeft" activeCell="E82" sqref="E82:E89"/>
      <selection pane="bottomRight" activeCell="E82" sqref="E82:E89"/>
    </sheetView>
  </sheetViews>
  <sheetFormatPr defaultColWidth="8.58203125" defaultRowHeight="13"/>
  <cols>
    <col min="1" max="1" width="10" style="182" bestFit="1" customWidth="1"/>
    <col min="2" max="2" width="5.58203125" style="183" bestFit="1" customWidth="1"/>
    <col min="3" max="3" width="8.83203125" style="184" bestFit="1" customWidth="1"/>
    <col min="4" max="4" width="6.83203125" style="184" bestFit="1" customWidth="1"/>
    <col min="5" max="5" width="11.83203125" style="184" bestFit="1" customWidth="1"/>
    <col min="6" max="6" width="9.08203125" style="182" customWidth="1"/>
    <col min="7" max="7" width="5.08203125" style="186" bestFit="1" customWidth="1"/>
    <col min="8" max="8" width="15.08203125" style="184" customWidth="1"/>
    <col min="9" max="19" width="14" style="184" customWidth="1"/>
    <col min="20" max="20" width="14" style="184" hidden="1" customWidth="1"/>
    <col min="21" max="21" width="15.25" style="184" customWidth="1"/>
    <col min="22" max="22" width="11.75" style="184" customWidth="1"/>
    <col min="23" max="23" width="8.83203125" style="184" customWidth="1"/>
    <col min="24" max="16384" width="8.58203125" style="184"/>
  </cols>
  <sheetData>
    <row r="1" spans="1:20" ht="15" customHeight="1">
      <c r="A1" s="182" t="s">
        <v>57</v>
      </c>
      <c r="E1" s="185"/>
    </row>
    <row r="2" spans="1:20">
      <c r="A2" s="187" t="s">
        <v>58</v>
      </c>
      <c r="B2" s="188" t="s">
        <v>59</v>
      </c>
      <c r="C2" s="189" t="s">
        <v>60</v>
      </c>
      <c r="D2" s="189" t="s">
        <v>61</v>
      </c>
      <c r="E2" s="189" t="s">
        <v>62</v>
      </c>
      <c r="F2" s="190" t="s">
        <v>63</v>
      </c>
      <c r="G2" s="191" t="s">
        <v>64</v>
      </c>
      <c r="H2" s="192" t="s">
        <v>65</v>
      </c>
      <c r="I2" s="189" t="s">
        <v>66</v>
      </c>
      <c r="T2" s="189" t="s">
        <v>66</v>
      </c>
    </row>
    <row r="3" spans="1:20">
      <c r="A3" s="182">
        <v>44942</v>
      </c>
      <c r="B3" s="183">
        <v>0.63635416666666667</v>
      </c>
      <c r="C3" s="184" t="s">
        <v>67</v>
      </c>
      <c r="D3" s="184" t="s">
        <v>68</v>
      </c>
      <c r="E3" s="184" t="s">
        <v>69</v>
      </c>
      <c r="F3" s="182">
        <v>45041</v>
      </c>
      <c r="G3" s="186" t="s">
        <v>105</v>
      </c>
      <c r="H3" s="184" t="s">
        <v>87</v>
      </c>
      <c r="T3" s="184" t="s">
        <v>317</v>
      </c>
    </row>
    <row r="4" spans="1:20">
      <c r="A4" s="182">
        <v>44942</v>
      </c>
      <c r="B4" s="183">
        <v>0.63842592592592595</v>
      </c>
      <c r="C4" s="184" t="s">
        <v>67</v>
      </c>
      <c r="D4" s="184" t="s">
        <v>68</v>
      </c>
      <c r="E4" s="184" t="s">
        <v>69</v>
      </c>
      <c r="F4" s="182">
        <v>45114</v>
      </c>
      <c r="G4" s="186" t="s">
        <v>75</v>
      </c>
      <c r="H4" s="184" t="s">
        <v>76</v>
      </c>
      <c r="T4" s="184" t="s">
        <v>317</v>
      </c>
    </row>
    <row r="5" spans="1:20">
      <c r="A5" s="182">
        <v>44958</v>
      </c>
      <c r="B5" s="183">
        <v>0.4342361111111111</v>
      </c>
      <c r="C5" s="184" t="s">
        <v>67</v>
      </c>
      <c r="D5" s="184" t="s">
        <v>68</v>
      </c>
      <c r="E5" s="184" t="s">
        <v>95</v>
      </c>
      <c r="F5" s="182">
        <v>45055</v>
      </c>
      <c r="G5" s="186" t="s">
        <v>70</v>
      </c>
      <c r="H5" s="184" t="s">
        <v>71</v>
      </c>
      <c r="T5" s="184" t="s">
        <v>999</v>
      </c>
    </row>
    <row r="6" spans="1:20">
      <c r="A6" s="182">
        <v>44958</v>
      </c>
      <c r="B6" s="183">
        <v>0.69562500000000005</v>
      </c>
      <c r="C6" s="184" t="s">
        <v>67</v>
      </c>
      <c r="D6" s="184" t="s">
        <v>68</v>
      </c>
      <c r="E6" s="184" t="s">
        <v>69</v>
      </c>
      <c r="F6" s="182">
        <v>45041</v>
      </c>
      <c r="G6" s="186" t="s">
        <v>114</v>
      </c>
      <c r="H6" s="184" t="s">
        <v>103</v>
      </c>
      <c r="T6" s="184" t="s">
        <v>796</v>
      </c>
    </row>
    <row r="7" spans="1:20">
      <c r="A7" s="182">
        <v>44960</v>
      </c>
      <c r="B7" s="183">
        <v>0.61767361111111108</v>
      </c>
      <c r="C7" s="184" t="s">
        <v>73</v>
      </c>
      <c r="D7" s="184" t="s">
        <v>68</v>
      </c>
      <c r="E7" s="184" t="s">
        <v>69</v>
      </c>
      <c r="F7" s="182">
        <v>45114</v>
      </c>
      <c r="G7" s="186" t="s">
        <v>94</v>
      </c>
      <c r="H7" s="184" t="s">
        <v>87</v>
      </c>
      <c r="T7" s="184" t="s">
        <v>1000</v>
      </c>
    </row>
    <row r="8" spans="1:20">
      <c r="A8" s="182">
        <v>44960</v>
      </c>
      <c r="B8" s="183">
        <v>0.6247800925925926</v>
      </c>
      <c r="C8" s="184" t="s">
        <v>73</v>
      </c>
      <c r="D8" s="184" t="s">
        <v>68</v>
      </c>
      <c r="E8" s="184" t="s">
        <v>69</v>
      </c>
      <c r="F8" s="182">
        <v>45114</v>
      </c>
      <c r="G8" s="186" t="s">
        <v>99</v>
      </c>
      <c r="H8" s="184" t="s">
        <v>76</v>
      </c>
      <c r="T8" s="184" t="s">
        <v>1001</v>
      </c>
    </row>
    <row r="9" spans="1:20">
      <c r="A9" s="182">
        <v>44965</v>
      </c>
      <c r="B9" s="183">
        <v>0.63663194444444449</v>
      </c>
      <c r="C9" s="184" t="s">
        <v>67</v>
      </c>
      <c r="D9" s="184" t="s">
        <v>68</v>
      </c>
      <c r="E9" s="184" t="s">
        <v>19</v>
      </c>
      <c r="F9" s="182">
        <v>45029</v>
      </c>
      <c r="G9" s="186" t="s">
        <v>70</v>
      </c>
      <c r="H9" s="184" t="s">
        <v>71</v>
      </c>
      <c r="T9" s="184" t="s">
        <v>428</v>
      </c>
    </row>
    <row r="10" spans="1:20">
      <c r="A10" s="182">
        <v>44967</v>
      </c>
      <c r="B10" s="183">
        <v>0.69349537037037035</v>
      </c>
      <c r="C10" s="184" t="s">
        <v>73</v>
      </c>
      <c r="D10" s="184" t="s">
        <v>68</v>
      </c>
      <c r="E10" s="184" t="s">
        <v>45</v>
      </c>
      <c r="F10" s="182">
        <v>45038</v>
      </c>
      <c r="G10" s="186" t="s">
        <v>70</v>
      </c>
      <c r="H10" s="184" t="s">
        <v>71</v>
      </c>
      <c r="T10" s="184" t="s">
        <v>234</v>
      </c>
    </row>
    <row r="11" spans="1:20">
      <c r="A11" s="182">
        <v>44970</v>
      </c>
      <c r="B11" s="183">
        <v>0.42300925925925931</v>
      </c>
      <c r="C11" s="184" t="s">
        <v>67</v>
      </c>
      <c r="D11" s="184" t="s">
        <v>68</v>
      </c>
      <c r="E11" s="184" t="s">
        <v>95</v>
      </c>
      <c r="F11" s="182">
        <v>45055</v>
      </c>
      <c r="G11" s="186" t="s">
        <v>94</v>
      </c>
      <c r="H11" s="184" t="s">
        <v>76</v>
      </c>
      <c r="T11" s="184" t="s">
        <v>1005</v>
      </c>
    </row>
    <row r="12" spans="1:20">
      <c r="A12" s="182">
        <v>44970</v>
      </c>
      <c r="B12" s="183">
        <v>0.49412037037037032</v>
      </c>
      <c r="C12" s="184" t="s">
        <v>67</v>
      </c>
      <c r="D12" s="184" t="s">
        <v>68</v>
      </c>
      <c r="E12" s="184" t="s">
        <v>45</v>
      </c>
      <c r="F12" s="182">
        <v>45038</v>
      </c>
      <c r="G12" s="186" t="s">
        <v>94</v>
      </c>
      <c r="H12" s="184" t="s">
        <v>76</v>
      </c>
      <c r="T12" s="184" t="s">
        <v>1006</v>
      </c>
    </row>
    <row r="13" spans="1:20">
      <c r="A13" s="182">
        <v>44972</v>
      </c>
      <c r="B13" s="183">
        <v>0.38318287037037035</v>
      </c>
      <c r="C13" s="184" t="s">
        <v>73</v>
      </c>
      <c r="D13" s="184" t="s">
        <v>159</v>
      </c>
      <c r="E13" s="184" t="s">
        <v>19</v>
      </c>
      <c r="F13" s="182">
        <v>45029</v>
      </c>
      <c r="G13" s="186" t="s">
        <v>70</v>
      </c>
      <c r="H13" s="184" t="s">
        <v>216</v>
      </c>
      <c r="I13" s="184" t="s">
        <v>1003</v>
      </c>
    </row>
    <row r="14" spans="1:20">
      <c r="A14" s="182">
        <v>44972</v>
      </c>
      <c r="B14" s="183">
        <v>0.61846064814814816</v>
      </c>
      <c r="C14" s="184" t="s">
        <v>67</v>
      </c>
      <c r="D14" s="184" t="s">
        <v>68</v>
      </c>
      <c r="E14" s="184" t="s">
        <v>19</v>
      </c>
      <c r="F14" s="182">
        <v>45029</v>
      </c>
      <c r="G14" s="186" t="s">
        <v>94</v>
      </c>
      <c r="H14" s="184" t="s">
        <v>76</v>
      </c>
      <c r="T14" s="184" t="s">
        <v>1007</v>
      </c>
    </row>
    <row r="15" spans="1:20">
      <c r="A15" s="182">
        <v>44972</v>
      </c>
      <c r="B15" s="183">
        <v>0.70819444444444446</v>
      </c>
      <c r="C15" s="184" t="s">
        <v>67</v>
      </c>
      <c r="D15" s="184" t="s">
        <v>68</v>
      </c>
      <c r="E15" s="184" t="s">
        <v>19</v>
      </c>
      <c r="F15" s="182">
        <v>45029</v>
      </c>
      <c r="G15" s="186" t="s">
        <v>94</v>
      </c>
      <c r="H15" s="184" t="s">
        <v>87</v>
      </c>
      <c r="T15" s="184" t="s">
        <v>1009</v>
      </c>
    </row>
    <row r="16" spans="1:20">
      <c r="A16" s="182">
        <v>44974</v>
      </c>
      <c r="B16" s="183">
        <v>0.61835648148148148</v>
      </c>
      <c r="C16" s="184" t="s">
        <v>73</v>
      </c>
      <c r="D16" s="184" t="s">
        <v>68</v>
      </c>
      <c r="E16" s="184" t="s">
        <v>19</v>
      </c>
      <c r="F16" s="182">
        <v>45029</v>
      </c>
      <c r="G16" s="186" t="s">
        <v>99</v>
      </c>
      <c r="H16" s="184" t="s">
        <v>76</v>
      </c>
      <c r="T16" s="184" t="s">
        <v>122</v>
      </c>
    </row>
    <row r="17" spans="1:20">
      <c r="A17" s="182">
        <v>44977</v>
      </c>
      <c r="B17" s="183">
        <v>0.62159722222222225</v>
      </c>
      <c r="C17" s="184" t="s">
        <v>67</v>
      </c>
      <c r="D17" s="184" t="s">
        <v>68</v>
      </c>
      <c r="E17" s="184" t="s">
        <v>85</v>
      </c>
      <c r="F17" s="182">
        <v>45065</v>
      </c>
      <c r="G17" s="186" t="s">
        <v>70</v>
      </c>
      <c r="H17" s="184" t="s">
        <v>71</v>
      </c>
      <c r="T17" s="184" t="s">
        <v>614</v>
      </c>
    </row>
    <row r="18" spans="1:20">
      <c r="A18" s="182">
        <v>44977</v>
      </c>
      <c r="B18" s="183">
        <v>0.72685185185185175</v>
      </c>
      <c r="C18" s="184" t="s">
        <v>67</v>
      </c>
      <c r="D18" s="184" t="s">
        <v>78</v>
      </c>
      <c r="E18" s="184" t="s">
        <v>95</v>
      </c>
      <c r="F18" s="182">
        <v>45055</v>
      </c>
      <c r="G18" s="186" t="s">
        <v>75</v>
      </c>
      <c r="H18" s="184" t="s">
        <v>107</v>
      </c>
    </row>
    <row r="19" spans="1:20">
      <c r="A19" s="182">
        <v>44977</v>
      </c>
      <c r="B19" s="183">
        <v>0.72701388888888896</v>
      </c>
      <c r="C19" s="184" t="s">
        <v>67</v>
      </c>
      <c r="D19" s="184" t="s">
        <v>78</v>
      </c>
      <c r="E19" s="184" t="s">
        <v>45</v>
      </c>
      <c r="F19" s="182">
        <v>45038</v>
      </c>
      <c r="G19" s="186" t="s">
        <v>119</v>
      </c>
      <c r="H19" s="184" t="s">
        <v>265</v>
      </c>
    </row>
    <row r="20" spans="1:20">
      <c r="A20" s="182">
        <v>44978</v>
      </c>
      <c r="B20" s="183">
        <v>0.3825810185185185</v>
      </c>
      <c r="C20" s="184" t="s">
        <v>73</v>
      </c>
      <c r="D20" s="184" t="s">
        <v>78</v>
      </c>
      <c r="E20" s="184" t="s">
        <v>45</v>
      </c>
      <c r="F20" s="182">
        <v>45038</v>
      </c>
      <c r="G20" s="186" t="s">
        <v>236</v>
      </c>
      <c r="H20" s="184" t="s">
        <v>233</v>
      </c>
    </row>
    <row r="21" spans="1:20">
      <c r="A21" s="182">
        <v>44978</v>
      </c>
      <c r="B21" s="183">
        <v>0.38276620370370368</v>
      </c>
      <c r="C21" s="184" t="s">
        <v>73</v>
      </c>
      <c r="D21" s="184" t="s">
        <v>78</v>
      </c>
      <c r="E21" s="184" t="s">
        <v>45</v>
      </c>
      <c r="F21" s="182">
        <v>45086</v>
      </c>
      <c r="G21" s="186" t="s">
        <v>105</v>
      </c>
      <c r="H21" s="184" t="s">
        <v>106</v>
      </c>
    </row>
    <row r="22" spans="1:20">
      <c r="A22" s="182">
        <v>44978</v>
      </c>
      <c r="B22" s="183">
        <v>0.64486111111111111</v>
      </c>
      <c r="C22" s="184" t="s">
        <v>73</v>
      </c>
      <c r="D22" s="184" t="s">
        <v>68</v>
      </c>
      <c r="E22" s="184" t="s">
        <v>19</v>
      </c>
      <c r="F22" s="182">
        <v>45029</v>
      </c>
      <c r="G22" s="186" t="s">
        <v>94</v>
      </c>
      <c r="H22" s="184" t="s">
        <v>87</v>
      </c>
      <c r="T22" s="184" t="s">
        <v>1011</v>
      </c>
    </row>
    <row r="23" spans="1:20">
      <c r="A23" s="182">
        <v>44979</v>
      </c>
      <c r="B23" s="183">
        <v>0.60328703703703701</v>
      </c>
      <c r="C23" s="184" t="s">
        <v>73</v>
      </c>
      <c r="D23" s="184" t="s">
        <v>159</v>
      </c>
      <c r="E23" s="184" t="s">
        <v>19</v>
      </c>
      <c r="F23" s="182">
        <v>45029</v>
      </c>
      <c r="G23" s="186" t="s">
        <v>94</v>
      </c>
      <c r="H23" s="184" t="s">
        <v>215</v>
      </c>
      <c r="I23" s="184" t="s">
        <v>964</v>
      </c>
    </row>
    <row r="24" spans="1:20">
      <c r="A24" s="182">
        <v>44979</v>
      </c>
      <c r="B24" s="183">
        <v>0.6422106481481481</v>
      </c>
      <c r="C24" s="184" t="s">
        <v>73</v>
      </c>
      <c r="D24" s="184" t="s">
        <v>68</v>
      </c>
      <c r="E24" s="184" t="s">
        <v>69</v>
      </c>
      <c r="F24" s="182">
        <v>45041</v>
      </c>
      <c r="G24" s="186" t="s">
        <v>94</v>
      </c>
      <c r="H24" s="184" t="s">
        <v>182</v>
      </c>
      <c r="T24" s="184" t="s">
        <v>203</v>
      </c>
    </row>
    <row r="25" spans="1:20">
      <c r="A25" s="182">
        <v>44981</v>
      </c>
      <c r="B25" s="183">
        <v>0.4408217592592592</v>
      </c>
      <c r="C25" s="184" t="s">
        <v>73</v>
      </c>
      <c r="D25" s="184" t="s">
        <v>159</v>
      </c>
      <c r="E25" s="184" t="s">
        <v>19</v>
      </c>
      <c r="F25" s="182">
        <v>45029</v>
      </c>
      <c r="G25" s="186" t="s">
        <v>94</v>
      </c>
      <c r="H25" s="184" t="s">
        <v>228</v>
      </c>
      <c r="I25" s="184" t="s">
        <v>1012</v>
      </c>
    </row>
    <row r="26" spans="1:20">
      <c r="A26" s="182">
        <v>44984</v>
      </c>
      <c r="B26" s="183">
        <v>0.55571759259259257</v>
      </c>
      <c r="C26" s="184" t="s">
        <v>73</v>
      </c>
      <c r="D26" s="184" t="s">
        <v>68</v>
      </c>
      <c r="E26" s="184" t="s">
        <v>69</v>
      </c>
      <c r="F26" s="182">
        <v>45041</v>
      </c>
      <c r="G26" s="186" t="s">
        <v>94</v>
      </c>
      <c r="H26" s="184" t="s">
        <v>117</v>
      </c>
      <c r="T26" s="184" t="s">
        <v>1013</v>
      </c>
    </row>
    <row r="27" spans="1:20">
      <c r="A27" s="182">
        <v>44984</v>
      </c>
      <c r="B27" s="183">
        <v>0.62954861111111116</v>
      </c>
      <c r="C27" s="184" t="s">
        <v>73</v>
      </c>
      <c r="D27" s="184" t="s">
        <v>68</v>
      </c>
      <c r="E27" s="184" t="s">
        <v>19</v>
      </c>
      <c r="F27" s="182">
        <v>45029</v>
      </c>
      <c r="G27" s="186" t="s">
        <v>75</v>
      </c>
      <c r="H27" s="184" t="s">
        <v>103</v>
      </c>
      <c r="T27" s="184" t="s">
        <v>1014</v>
      </c>
    </row>
    <row r="28" spans="1:20">
      <c r="A28" s="182">
        <v>44984</v>
      </c>
      <c r="B28" s="183">
        <v>0.63061342592592595</v>
      </c>
      <c r="C28" s="184" t="s">
        <v>73</v>
      </c>
      <c r="D28" s="184" t="s">
        <v>68</v>
      </c>
      <c r="E28" s="184" t="s">
        <v>85</v>
      </c>
      <c r="F28" s="182">
        <v>45065</v>
      </c>
      <c r="G28" s="186" t="s">
        <v>94</v>
      </c>
      <c r="H28" s="184" t="s">
        <v>76</v>
      </c>
      <c r="T28" s="184" t="s">
        <v>1014</v>
      </c>
    </row>
    <row r="29" spans="1:20">
      <c r="A29" s="182">
        <v>44986</v>
      </c>
      <c r="B29" s="183">
        <v>0.62643518518518515</v>
      </c>
      <c r="C29" s="184" t="s">
        <v>67</v>
      </c>
      <c r="D29" s="184" t="s">
        <v>78</v>
      </c>
      <c r="E29" s="184" t="s">
        <v>124</v>
      </c>
      <c r="F29" s="182">
        <v>45128</v>
      </c>
      <c r="G29" s="186" t="s">
        <v>70</v>
      </c>
      <c r="H29" s="184" t="s">
        <v>86</v>
      </c>
    </row>
    <row r="30" spans="1:20">
      <c r="A30" s="182">
        <v>44986</v>
      </c>
      <c r="B30" s="183">
        <v>0.72509259259259251</v>
      </c>
      <c r="C30" s="184" t="s">
        <v>67</v>
      </c>
      <c r="D30" s="184" t="s">
        <v>68</v>
      </c>
      <c r="E30" s="184" t="s">
        <v>19</v>
      </c>
      <c r="F30" s="182">
        <v>45029</v>
      </c>
      <c r="G30" s="186" t="s">
        <v>94</v>
      </c>
      <c r="H30" s="184" t="s">
        <v>182</v>
      </c>
      <c r="T30" s="184" t="s">
        <v>1015</v>
      </c>
    </row>
    <row r="31" spans="1:20">
      <c r="A31" s="182">
        <v>44988</v>
      </c>
      <c r="B31" s="183">
        <v>0.41261574074074076</v>
      </c>
      <c r="C31" s="184" t="s">
        <v>67</v>
      </c>
      <c r="D31" s="184" t="s">
        <v>68</v>
      </c>
      <c r="E31" s="184" t="s">
        <v>19</v>
      </c>
      <c r="F31" s="182">
        <v>45029</v>
      </c>
      <c r="G31" s="186" t="s">
        <v>94</v>
      </c>
      <c r="H31" s="184" t="s">
        <v>117</v>
      </c>
      <c r="T31" s="184" t="s">
        <v>289</v>
      </c>
    </row>
    <row r="32" spans="1:20">
      <c r="A32" s="182">
        <v>44991</v>
      </c>
      <c r="B32" s="183">
        <v>0.4244560185185185</v>
      </c>
      <c r="C32" s="184" t="s">
        <v>67</v>
      </c>
      <c r="D32" s="184" t="s">
        <v>91</v>
      </c>
      <c r="E32" s="184" t="s">
        <v>85</v>
      </c>
      <c r="F32" s="182">
        <v>45065</v>
      </c>
      <c r="G32" s="186" t="s">
        <v>70</v>
      </c>
      <c r="H32" s="184" t="s">
        <v>93</v>
      </c>
    </row>
    <row r="33" spans="1:20">
      <c r="A33" s="182">
        <v>44991</v>
      </c>
      <c r="B33" s="183">
        <v>0.69472222222222213</v>
      </c>
      <c r="C33" s="184" t="s">
        <v>67</v>
      </c>
      <c r="D33" s="184" t="s">
        <v>78</v>
      </c>
      <c r="E33" s="184" t="s">
        <v>19</v>
      </c>
      <c r="F33" s="182">
        <v>45099</v>
      </c>
      <c r="G33" s="186" t="s">
        <v>70</v>
      </c>
      <c r="H33" s="184" t="s">
        <v>86</v>
      </c>
    </row>
    <row r="34" spans="1:20">
      <c r="A34" s="182">
        <v>44992</v>
      </c>
      <c r="B34" s="183">
        <v>0.46262731481481478</v>
      </c>
      <c r="C34" s="184" t="s">
        <v>73</v>
      </c>
      <c r="D34" s="184" t="s">
        <v>68</v>
      </c>
      <c r="E34" s="184" t="s">
        <v>85</v>
      </c>
      <c r="F34" s="182">
        <v>45065</v>
      </c>
      <c r="G34" s="186" t="s">
        <v>94</v>
      </c>
      <c r="H34" s="184" t="s">
        <v>87</v>
      </c>
      <c r="T34" s="184" t="s">
        <v>929</v>
      </c>
    </row>
    <row r="35" spans="1:20">
      <c r="A35" s="182">
        <v>44992</v>
      </c>
      <c r="B35" s="183">
        <v>0.53812499999999996</v>
      </c>
      <c r="C35" s="184" t="s">
        <v>67</v>
      </c>
      <c r="D35" s="184" t="s">
        <v>68</v>
      </c>
      <c r="E35" s="184" t="s">
        <v>85</v>
      </c>
      <c r="F35" s="182">
        <v>45065</v>
      </c>
      <c r="G35" s="186" t="s">
        <v>94</v>
      </c>
      <c r="H35" s="184" t="s">
        <v>101</v>
      </c>
      <c r="T35" s="184" t="s">
        <v>1016</v>
      </c>
    </row>
    <row r="36" spans="1:20">
      <c r="A36" s="182">
        <v>44993</v>
      </c>
      <c r="B36" s="183">
        <v>0.59978009259259257</v>
      </c>
      <c r="C36" s="184" t="s">
        <v>67</v>
      </c>
      <c r="D36" s="184" t="s">
        <v>78</v>
      </c>
      <c r="E36" s="184" t="s">
        <v>69</v>
      </c>
      <c r="F36" s="182">
        <v>45041</v>
      </c>
      <c r="G36" s="186" t="s">
        <v>505</v>
      </c>
      <c r="H36" s="184" t="s">
        <v>267</v>
      </c>
    </row>
    <row r="37" spans="1:20">
      <c r="A37" s="182">
        <v>44993</v>
      </c>
      <c r="B37" s="183">
        <v>0.68215277777777772</v>
      </c>
      <c r="C37" s="184" t="s">
        <v>73</v>
      </c>
      <c r="D37" s="184" t="s">
        <v>91</v>
      </c>
      <c r="E37" s="184" t="s">
        <v>69</v>
      </c>
      <c r="F37" s="182">
        <v>45041</v>
      </c>
      <c r="G37" s="186" t="s">
        <v>70</v>
      </c>
      <c r="H37" s="184" t="s">
        <v>93</v>
      </c>
    </row>
    <row r="38" spans="1:20">
      <c r="A38" s="182">
        <v>44993</v>
      </c>
      <c r="B38" s="183">
        <v>0.68321759259259263</v>
      </c>
      <c r="C38" s="184" t="s">
        <v>73</v>
      </c>
      <c r="D38" s="184" t="s">
        <v>78</v>
      </c>
      <c r="E38" s="184" t="s">
        <v>19</v>
      </c>
      <c r="F38" s="182">
        <v>45029</v>
      </c>
      <c r="G38" s="186" t="s">
        <v>70</v>
      </c>
      <c r="H38" s="184" t="s">
        <v>86</v>
      </c>
    </row>
    <row r="39" spans="1:20">
      <c r="A39" s="182">
        <v>44993</v>
      </c>
      <c r="B39" s="183">
        <v>0.68339120370370365</v>
      </c>
      <c r="C39" s="184" t="s">
        <v>73</v>
      </c>
      <c r="D39" s="184" t="s">
        <v>78</v>
      </c>
      <c r="E39" s="184" t="s">
        <v>45</v>
      </c>
      <c r="F39" s="182">
        <v>45038</v>
      </c>
      <c r="G39" s="186" t="s">
        <v>70</v>
      </c>
      <c r="H39" s="184" t="s">
        <v>86</v>
      </c>
    </row>
    <row r="40" spans="1:20">
      <c r="A40" s="182">
        <v>44993</v>
      </c>
      <c r="B40" s="183">
        <v>0.68372685185185178</v>
      </c>
      <c r="C40" s="184" t="s">
        <v>73</v>
      </c>
      <c r="D40" s="184" t="s">
        <v>78</v>
      </c>
      <c r="E40" s="184" t="s">
        <v>124</v>
      </c>
      <c r="F40" s="182">
        <v>45128</v>
      </c>
      <c r="G40" s="186" t="s">
        <v>94</v>
      </c>
      <c r="H40" s="184" t="s">
        <v>107</v>
      </c>
    </row>
    <row r="41" spans="1:20">
      <c r="A41" s="182">
        <v>44994</v>
      </c>
      <c r="B41" s="183">
        <v>0.37001157407407409</v>
      </c>
      <c r="C41" s="184" t="s">
        <v>67</v>
      </c>
      <c r="D41" s="184" t="s">
        <v>68</v>
      </c>
      <c r="E41" s="184" t="s">
        <v>45</v>
      </c>
      <c r="F41" s="182">
        <v>45038</v>
      </c>
      <c r="G41" s="186" t="s">
        <v>112</v>
      </c>
      <c r="H41" s="184" t="s">
        <v>103</v>
      </c>
      <c r="T41" s="184" t="s">
        <v>307</v>
      </c>
    </row>
    <row r="42" spans="1:20">
      <c r="A42" s="182">
        <v>44994</v>
      </c>
      <c r="B42" s="183">
        <v>0.47421296296296295</v>
      </c>
      <c r="C42" s="184" t="s">
        <v>67</v>
      </c>
      <c r="D42" s="184" t="s">
        <v>78</v>
      </c>
      <c r="E42" s="184" t="s">
        <v>19</v>
      </c>
      <c r="F42" s="182">
        <v>45029</v>
      </c>
      <c r="G42" s="186" t="s">
        <v>94</v>
      </c>
      <c r="H42" s="184" t="s">
        <v>107</v>
      </c>
    </row>
    <row r="43" spans="1:20">
      <c r="A43" s="182">
        <v>44994</v>
      </c>
      <c r="B43" s="183">
        <v>0.47438657407407409</v>
      </c>
      <c r="C43" s="184" t="s">
        <v>67</v>
      </c>
      <c r="D43" s="184" t="s">
        <v>78</v>
      </c>
      <c r="E43" s="184" t="s">
        <v>95</v>
      </c>
      <c r="F43" s="182">
        <v>45055</v>
      </c>
      <c r="G43" s="186" t="s">
        <v>94</v>
      </c>
      <c r="H43" s="184" t="s">
        <v>106</v>
      </c>
    </row>
    <row r="44" spans="1:20">
      <c r="A44" s="182">
        <v>44994</v>
      </c>
      <c r="B44" s="183">
        <v>0.5692476851851852</v>
      </c>
      <c r="C44" s="184" t="s">
        <v>67</v>
      </c>
      <c r="D44" s="184" t="s">
        <v>68</v>
      </c>
      <c r="E44" s="184" t="s">
        <v>96</v>
      </c>
      <c r="F44" s="182">
        <v>45118</v>
      </c>
      <c r="G44" s="186" t="s">
        <v>70</v>
      </c>
      <c r="H44" s="184" t="s">
        <v>71</v>
      </c>
      <c r="T44" s="184" t="s">
        <v>1018</v>
      </c>
    </row>
    <row r="45" spans="1:20">
      <c r="A45" s="182">
        <v>44994</v>
      </c>
      <c r="B45" s="183">
        <v>0.64822916666666663</v>
      </c>
      <c r="C45" s="184" t="s">
        <v>67</v>
      </c>
      <c r="D45" s="184" t="s">
        <v>68</v>
      </c>
      <c r="E45" s="184" t="s">
        <v>96</v>
      </c>
      <c r="F45" s="182">
        <v>45118</v>
      </c>
      <c r="G45" s="186" t="s">
        <v>94</v>
      </c>
      <c r="H45" s="184" t="s">
        <v>76</v>
      </c>
      <c r="T45" s="184" t="s">
        <v>1017</v>
      </c>
    </row>
    <row r="46" spans="1:20">
      <c r="A46" s="182">
        <v>44995</v>
      </c>
      <c r="B46" s="183">
        <v>0.5584837962962963</v>
      </c>
      <c r="C46" s="184" t="s">
        <v>73</v>
      </c>
      <c r="D46" s="184" t="s">
        <v>68</v>
      </c>
      <c r="E46" s="184" t="s">
        <v>19</v>
      </c>
      <c r="F46" s="182">
        <v>45029</v>
      </c>
      <c r="G46" s="186" t="s">
        <v>94</v>
      </c>
      <c r="H46" s="184" t="s">
        <v>259</v>
      </c>
      <c r="T46" s="184" t="s">
        <v>632</v>
      </c>
    </row>
    <row r="47" spans="1:20">
      <c r="A47" s="182">
        <v>44995</v>
      </c>
      <c r="B47" s="183">
        <v>0.63626157407407413</v>
      </c>
      <c r="C47" s="184" t="s">
        <v>73</v>
      </c>
      <c r="D47" s="184" t="s">
        <v>68</v>
      </c>
      <c r="E47" s="184" t="s">
        <v>96</v>
      </c>
      <c r="F47" s="182">
        <v>45080</v>
      </c>
      <c r="G47" s="186" t="s">
        <v>70</v>
      </c>
      <c r="H47" s="184" t="s">
        <v>71</v>
      </c>
      <c r="T47" s="184" t="s">
        <v>110</v>
      </c>
    </row>
    <row r="48" spans="1:20">
      <c r="A48" s="182">
        <v>44999</v>
      </c>
      <c r="B48" s="183">
        <v>0.43508101851851855</v>
      </c>
      <c r="C48" s="184" t="s">
        <v>67</v>
      </c>
      <c r="D48" s="184" t="s">
        <v>91</v>
      </c>
      <c r="E48" s="184" t="s">
        <v>45</v>
      </c>
      <c r="F48" s="182">
        <v>45038</v>
      </c>
      <c r="G48" s="186" t="s">
        <v>75</v>
      </c>
      <c r="H48" s="184" t="s">
        <v>92</v>
      </c>
    </row>
    <row r="49" spans="1:20">
      <c r="A49" s="182">
        <v>45000</v>
      </c>
      <c r="B49" s="183">
        <v>0.39782407407407411</v>
      </c>
      <c r="C49" s="184" t="s">
        <v>67</v>
      </c>
      <c r="D49" s="184" t="s">
        <v>68</v>
      </c>
      <c r="E49" s="184" t="s">
        <v>95</v>
      </c>
      <c r="F49" s="182">
        <v>45055</v>
      </c>
      <c r="G49" s="186" t="s">
        <v>94</v>
      </c>
      <c r="H49" s="184" t="s">
        <v>87</v>
      </c>
      <c r="T49" s="184" t="s">
        <v>360</v>
      </c>
    </row>
    <row r="50" spans="1:20">
      <c r="A50" s="182">
        <v>45000</v>
      </c>
      <c r="B50" s="183">
        <v>0.53934027777777771</v>
      </c>
      <c r="C50" s="184" t="s">
        <v>67</v>
      </c>
      <c r="D50" s="184" t="s">
        <v>68</v>
      </c>
      <c r="E50" s="184" t="s">
        <v>124</v>
      </c>
      <c r="F50" s="182">
        <v>45128</v>
      </c>
      <c r="G50" s="186" t="s">
        <v>70</v>
      </c>
      <c r="H50" s="184" t="s">
        <v>71</v>
      </c>
      <c r="T50" s="184" t="s">
        <v>1019</v>
      </c>
    </row>
    <row r="51" spans="1:20">
      <c r="A51" s="182">
        <v>45000</v>
      </c>
      <c r="B51" s="183">
        <v>0.54268518518518516</v>
      </c>
      <c r="C51" s="184" t="s">
        <v>67</v>
      </c>
      <c r="D51" s="184" t="s">
        <v>68</v>
      </c>
      <c r="E51" s="184" t="s">
        <v>19</v>
      </c>
      <c r="F51" s="182">
        <v>45029</v>
      </c>
      <c r="G51" s="186" t="s">
        <v>94</v>
      </c>
      <c r="H51" s="184" t="s">
        <v>273</v>
      </c>
      <c r="T51" s="184" t="s">
        <v>1020</v>
      </c>
    </row>
    <row r="52" spans="1:20">
      <c r="A52" s="182">
        <v>45000</v>
      </c>
      <c r="B52" s="183">
        <v>0.54679398148148151</v>
      </c>
      <c r="C52" s="184" t="s">
        <v>67</v>
      </c>
      <c r="D52" s="184" t="s">
        <v>68</v>
      </c>
      <c r="E52" s="184" t="s">
        <v>45</v>
      </c>
      <c r="F52" s="182">
        <v>45114</v>
      </c>
      <c r="G52" s="186" t="s">
        <v>70</v>
      </c>
      <c r="H52" s="184" t="s">
        <v>71</v>
      </c>
      <c r="T52" s="184" t="s">
        <v>1021</v>
      </c>
    </row>
    <row r="53" spans="1:20">
      <c r="A53" s="182">
        <v>45000</v>
      </c>
      <c r="B53" s="183">
        <v>0.65694444444444444</v>
      </c>
      <c r="C53" s="184" t="s">
        <v>67</v>
      </c>
      <c r="D53" s="184" t="s">
        <v>159</v>
      </c>
      <c r="E53" s="184" t="s">
        <v>96</v>
      </c>
      <c r="F53" s="182">
        <v>45118</v>
      </c>
      <c r="G53" s="186" t="s">
        <v>70</v>
      </c>
      <c r="H53" s="184" t="s">
        <v>216</v>
      </c>
    </row>
    <row r="54" spans="1:20">
      <c r="A54" s="182">
        <v>45001</v>
      </c>
      <c r="B54" s="183">
        <v>0.38295138888888891</v>
      </c>
      <c r="C54" s="184" t="s">
        <v>73</v>
      </c>
      <c r="D54" s="184" t="s">
        <v>159</v>
      </c>
      <c r="E54" s="184" t="s">
        <v>96</v>
      </c>
      <c r="F54" s="182">
        <v>45118</v>
      </c>
      <c r="G54" s="186" t="s">
        <v>99</v>
      </c>
      <c r="H54" s="184" t="s">
        <v>740</v>
      </c>
      <c r="I54" s="184" t="s">
        <v>1003</v>
      </c>
    </row>
    <row r="55" spans="1:20">
      <c r="A55" s="182">
        <v>45002</v>
      </c>
      <c r="B55" s="183">
        <v>0.43483796296296301</v>
      </c>
      <c r="C55" s="184" t="s">
        <v>67</v>
      </c>
      <c r="D55" s="184" t="s">
        <v>78</v>
      </c>
      <c r="E55" s="184" t="s">
        <v>124</v>
      </c>
      <c r="F55" s="182">
        <v>45128</v>
      </c>
      <c r="G55" s="186" t="s">
        <v>114</v>
      </c>
      <c r="H55" s="184" t="s">
        <v>113</v>
      </c>
    </row>
    <row r="56" spans="1:20">
      <c r="A56" s="182">
        <v>45002</v>
      </c>
      <c r="B56" s="183">
        <v>0.45430555555555557</v>
      </c>
      <c r="C56" s="184" t="s">
        <v>67</v>
      </c>
      <c r="D56" s="184" t="s">
        <v>91</v>
      </c>
      <c r="E56" s="184" t="s">
        <v>19</v>
      </c>
      <c r="F56" s="182">
        <v>45029</v>
      </c>
      <c r="G56" s="186" t="s">
        <v>75</v>
      </c>
      <c r="H56" s="184" t="s">
        <v>92</v>
      </c>
    </row>
    <row r="57" spans="1:20">
      <c r="A57" s="182">
        <v>45002</v>
      </c>
      <c r="B57" s="183">
        <v>0.62122685185185189</v>
      </c>
      <c r="C57" s="184" t="s">
        <v>73</v>
      </c>
      <c r="D57" s="184" t="s">
        <v>68</v>
      </c>
      <c r="E57" s="184" t="s">
        <v>96</v>
      </c>
      <c r="F57" s="182">
        <v>45080</v>
      </c>
      <c r="G57" s="186" t="s">
        <v>94</v>
      </c>
      <c r="H57" s="184" t="s">
        <v>76</v>
      </c>
      <c r="T57" s="184" t="s">
        <v>1022</v>
      </c>
    </row>
    <row r="58" spans="1:20">
      <c r="A58" s="182">
        <v>45005</v>
      </c>
      <c r="B58" s="183">
        <v>0.52803240740740742</v>
      </c>
      <c r="C58" s="184" t="s">
        <v>67</v>
      </c>
      <c r="D58" s="184" t="s">
        <v>78</v>
      </c>
      <c r="E58" s="184" t="s">
        <v>19</v>
      </c>
      <c r="F58" s="182">
        <v>45029</v>
      </c>
      <c r="G58" s="186" t="s">
        <v>94</v>
      </c>
      <c r="H58" s="184" t="s">
        <v>106</v>
      </c>
    </row>
    <row r="59" spans="1:20">
      <c r="A59" s="182">
        <v>45007</v>
      </c>
      <c r="B59" s="183">
        <v>0.66478009259259252</v>
      </c>
      <c r="C59" s="184" t="s">
        <v>67</v>
      </c>
      <c r="D59" s="184" t="s">
        <v>78</v>
      </c>
      <c r="E59" s="184" t="s">
        <v>19</v>
      </c>
      <c r="F59" s="182">
        <v>45029</v>
      </c>
      <c r="G59" s="186" t="s">
        <v>94</v>
      </c>
      <c r="H59" s="184" t="s">
        <v>113</v>
      </c>
    </row>
    <row r="60" spans="1:20">
      <c r="A60" s="182">
        <v>45007</v>
      </c>
      <c r="B60" s="183">
        <v>0.66495370370370377</v>
      </c>
      <c r="C60" s="184" t="s">
        <v>67</v>
      </c>
      <c r="D60" s="184" t="s">
        <v>78</v>
      </c>
      <c r="E60" s="184" t="s">
        <v>45</v>
      </c>
      <c r="F60" s="182">
        <v>45038</v>
      </c>
      <c r="G60" s="186" t="s">
        <v>94</v>
      </c>
      <c r="H60" s="184" t="s">
        <v>107</v>
      </c>
    </row>
    <row r="61" spans="1:20">
      <c r="A61" s="182">
        <v>45007</v>
      </c>
      <c r="B61" s="183">
        <v>0.66511574074074076</v>
      </c>
      <c r="C61" s="184" t="s">
        <v>67</v>
      </c>
      <c r="D61" s="184" t="s">
        <v>78</v>
      </c>
      <c r="E61" s="184" t="s">
        <v>69</v>
      </c>
      <c r="F61" s="182">
        <v>45041</v>
      </c>
      <c r="G61" s="186" t="s">
        <v>114</v>
      </c>
      <c r="H61" s="184" t="s">
        <v>82</v>
      </c>
    </row>
    <row r="62" spans="1:20">
      <c r="A62" s="182">
        <v>45008</v>
      </c>
      <c r="B62" s="183">
        <v>0.62284722222222222</v>
      </c>
      <c r="C62" s="184" t="s">
        <v>67</v>
      </c>
      <c r="D62" s="184" t="s">
        <v>78</v>
      </c>
      <c r="E62" s="184" t="s">
        <v>45</v>
      </c>
      <c r="F62" s="182">
        <v>45038</v>
      </c>
      <c r="G62" s="186" t="s">
        <v>94</v>
      </c>
      <c r="H62" s="184" t="s">
        <v>106</v>
      </c>
    </row>
    <row r="63" spans="1:20">
      <c r="A63" s="182">
        <v>45008</v>
      </c>
      <c r="B63" s="183">
        <v>0.68442129629629633</v>
      </c>
      <c r="C63" s="184" t="s">
        <v>67</v>
      </c>
      <c r="D63" s="184" t="s">
        <v>91</v>
      </c>
      <c r="E63" s="184" t="s">
        <v>45</v>
      </c>
      <c r="F63" s="182">
        <v>45038</v>
      </c>
      <c r="G63" s="186" t="s">
        <v>114</v>
      </c>
      <c r="H63" s="184" t="s">
        <v>285</v>
      </c>
    </row>
    <row r="64" spans="1:20">
      <c r="A64" s="182">
        <v>45009</v>
      </c>
      <c r="B64" s="183">
        <v>0.64128472222222221</v>
      </c>
      <c r="C64" s="184" t="s">
        <v>67</v>
      </c>
      <c r="D64" s="184" t="s">
        <v>68</v>
      </c>
      <c r="E64" s="184" t="s">
        <v>124</v>
      </c>
      <c r="F64" s="182">
        <v>45128</v>
      </c>
      <c r="G64" s="186" t="s">
        <v>94</v>
      </c>
      <c r="H64" s="184" t="s">
        <v>76</v>
      </c>
      <c r="T64" s="184" t="s">
        <v>1023</v>
      </c>
    </row>
    <row r="65" spans="1:20">
      <c r="A65" s="182">
        <v>45013</v>
      </c>
      <c r="B65" s="183">
        <v>0.41763888888888889</v>
      </c>
      <c r="C65" s="184" t="s">
        <v>67</v>
      </c>
      <c r="D65" s="184" t="s">
        <v>68</v>
      </c>
      <c r="E65" s="184" t="s">
        <v>19</v>
      </c>
      <c r="F65" s="182">
        <v>45029</v>
      </c>
      <c r="G65" s="186" t="s">
        <v>94</v>
      </c>
      <c r="H65" s="184" t="s">
        <v>261</v>
      </c>
      <c r="T65" s="184" t="s">
        <v>161</v>
      </c>
    </row>
    <row r="66" spans="1:20">
      <c r="A66" s="182">
        <v>45013</v>
      </c>
      <c r="B66" s="183">
        <v>0.56244212962962969</v>
      </c>
      <c r="C66" s="184" t="s">
        <v>67</v>
      </c>
      <c r="D66" s="184" t="s">
        <v>91</v>
      </c>
      <c r="E66" s="184" t="s">
        <v>19</v>
      </c>
      <c r="F66" s="182">
        <v>45029</v>
      </c>
      <c r="G66" s="186" t="s">
        <v>94</v>
      </c>
      <c r="H66" s="184" t="s">
        <v>227</v>
      </c>
    </row>
    <row r="67" spans="1:20">
      <c r="A67" s="182">
        <v>45014</v>
      </c>
      <c r="B67" s="183">
        <v>0.47178240740740746</v>
      </c>
      <c r="C67" s="184" t="s">
        <v>73</v>
      </c>
      <c r="D67" s="184" t="s">
        <v>159</v>
      </c>
      <c r="E67" s="184" t="s">
        <v>19</v>
      </c>
      <c r="F67" s="182">
        <v>45029</v>
      </c>
      <c r="G67" s="186" t="s">
        <v>99</v>
      </c>
      <c r="H67" s="184" t="s">
        <v>215</v>
      </c>
      <c r="I67" s="184" t="s">
        <v>964</v>
      </c>
    </row>
    <row r="68" spans="1:20">
      <c r="A68" s="182">
        <v>45014</v>
      </c>
      <c r="B68" s="183">
        <v>0.61001157407407403</v>
      </c>
      <c r="C68" s="184" t="s">
        <v>73</v>
      </c>
      <c r="D68" s="184" t="s">
        <v>68</v>
      </c>
      <c r="E68" s="184" t="s">
        <v>45</v>
      </c>
      <c r="F68" s="182">
        <v>45038</v>
      </c>
      <c r="G68" s="186" t="s">
        <v>94</v>
      </c>
      <c r="H68" s="184" t="s">
        <v>182</v>
      </c>
      <c r="T68" s="184" t="s">
        <v>249</v>
      </c>
    </row>
    <row r="69" spans="1:20">
      <c r="A69" s="182">
        <v>45014</v>
      </c>
      <c r="B69" s="183">
        <v>0.61348379629629635</v>
      </c>
      <c r="C69" s="184" t="s">
        <v>73</v>
      </c>
      <c r="D69" s="184" t="s">
        <v>68</v>
      </c>
      <c r="E69" s="184" t="s">
        <v>95</v>
      </c>
      <c r="F69" s="182">
        <v>45055</v>
      </c>
      <c r="G69" s="186" t="s">
        <v>114</v>
      </c>
      <c r="H69" s="184" t="s">
        <v>103</v>
      </c>
      <c r="T69" s="184" t="s">
        <v>1024</v>
      </c>
    </row>
    <row r="70" spans="1:20">
      <c r="A70" s="182">
        <v>45015</v>
      </c>
      <c r="B70" s="183">
        <v>0.3946527777777778</v>
      </c>
      <c r="C70" s="184" t="s">
        <v>73</v>
      </c>
      <c r="D70" s="184" t="s">
        <v>68</v>
      </c>
      <c r="E70" s="184" t="s">
        <v>69</v>
      </c>
      <c r="F70" s="182">
        <v>45041</v>
      </c>
      <c r="G70" s="186" t="s">
        <v>94</v>
      </c>
      <c r="H70" s="184" t="s">
        <v>259</v>
      </c>
      <c r="T70" s="184" t="s">
        <v>776</v>
      </c>
    </row>
    <row r="71" spans="1:20">
      <c r="A71" s="182">
        <v>45015</v>
      </c>
      <c r="B71" s="183">
        <v>0.46078703703703705</v>
      </c>
      <c r="C71" s="184" t="s">
        <v>73</v>
      </c>
      <c r="D71" s="184" t="s">
        <v>78</v>
      </c>
      <c r="E71" s="184" t="s">
        <v>89</v>
      </c>
      <c r="F71" s="182">
        <v>45121</v>
      </c>
      <c r="G71" s="186" t="s">
        <v>75</v>
      </c>
      <c r="H71" s="184" t="s">
        <v>107</v>
      </c>
    </row>
    <row r="72" spans="1:20">
      <c r="A72" s="182">
        <v>45015</v>
      </c>
      <c r="B72" s="183">
        <v>0.47045138888888888</v>
      </c>
      <c r="C72" s="184" t="s">
        <v>73</v>
      </c>
      <c r="D72" s="184" t="s">
        <v>68</v>
      </c>
      <c r="E72" s="184" t="s">
        <v>19</v>
      </c>
      <c r="F72" s="182">
        <v>45029</v>
      </c>
      <c r="G72" s="186" t="s">
        <v>94</v>
      </c>
      <c r="H72" s="184" t="s">
        <v>260</v>
      </c>
      <c r="T72" s="184" t="s">
        <v>1025</v>
      </c>
    </row>
    <row r="73" spans="1:20">
      <c r="A73" s="182">
        <v>45015</v>
      </c>
      <c r="B73" s="183">
        <v>0.47357638888888887</v>
      </c>
      <c r="C73" s="184" t="s">
        <v>73</v>
      </c>
      <c r="D73" s="184" t="s">
        <v>68</v>
      </c>
      <c r="E73" s="184" t="s">
        <v>96</v>
      </c>
      <c r="F73" s="182">
        <v>45118</v>
      </c>
      <c r="G73" s="186" t="s">
        <v>94</v>
      </c>
      <c r="H73" s="184" t="s">
        <v>87</v>
      </c>
      <c r="T73" s="184" t="s">
        <v>1026</v>
      </c>
    </row>
    <row r="74" spans="1:20">
      <c r="A74" s="182">
        <v>45015</v>
      </c>
      <c r="B74" s="183">
        <v>0.47414351851851855</v>
      </c>
      <c r="C74" s="184" t="s">
        <v>73</v>
      </c>
      <c r="D74" s="184" t="s">
        <v>68</v>
      </c>
      <c r="E74" s="184" t="s">
        <v>45</v>
      </c>
      <c r="F74" s="182">
        <v>45038</v>
      </c>
      <c r="G74" s="186" t="s">
        <v>94</v>
      </c>
      <c r="H74" s="184" t="s">
        <v>117</v>
      </c>
      <c r="T74" s="184" t="s">
        <v>409</v>
      </c>
    </row>
    <row r="75" spans="1:20">
      <c r="A75" s="182">
        <v>45015</v>
      </c>
      <c r="B75" s="183">
        <v>0.69038194444444445</v>
      </c>
      <c r="C75" s="184" t="s">
        <v>73</v>
      </c>
      <c r="D75" s="184" t="s">
        <v>68</v>
      </c>
      <c r="E75" s="184" t="s">
        <v>124</v>
      </c>
      <c r="F75" s="182">
        <v>45128</v>
      </c>
      <c r="G75" s="186" t="s">
        <v>94</v>
      </c>
      <c r="H75" s="184" t="s">
        <v>87</v>
      </c>
      <c r="T75" s="184" t="s">
        <v>1027</v>
      </c>
    </row>
    <row r="76" spans="1:20">
      <c r="A76" s="182">
        <v>45016</v>
      </c>
      <c r="B76" s="183">
        <v>0.60001157407407402</v>
      </c>
      <c r="C76" s="184" t="s">
        <v>73</v>
      </c>
      <c r="D76" s="184" t="s">
        <v>68</v>
      </c>
      <c r="E76" s="184" t="s">
        <v>45</v>
      </c>
      <c r="F76" s="182">
        <v>45114</v>
      </c>
      <c r="G76" s="186" t="s">
        <v>94</v>
      </c>
      <c r="H76" s="184" t="s">
        <v>76</v>
      </c>
      <c r="T76" s="184" t="s">
        <v>234</v>
      </c>
    </row>
    <row r="77" spans="1:20">
      <c r="A77" s="182">
        <v>45016</v>
      </c>
      <c r="B77" s="183">
        <v>0.60165509259259264</v>
      </c>
      <c r="C77" s="184" t="s">
        <v>73</v>
      </c>
      <c r="D77" s="184" t="s">
        <v>68</v>
      </c>
      <c r="E77" s="184" t="s">
        <v>19</v>
      </c>
      <c r="F77" s="182">
        <v>45211</v>
      </c>
      <c r="G77" s="186" t="s">
        <v>70</v>
      </c>
      <c r="H77" s="184" t="s">
        <v>71</v>
      </c>
      <c r="T77" s="184" t="s">
        <v>234</v>
      </c>
    </row>
    <row r="78" spans="1:20">
      <c r="A78" s="182">
        <v>45019</v>
      </c>
      <c r="B78" s="183">
        <v>0.39436342592592594</v>
      </c>
      <c r="C78" s="184" t="s">
        <v>73</v>
      </c>
      <c r="D78" s="184" t="s">
        <v>68</v>
      </c>
      <c r="E78" s="184" t="s">
        <v>69</v>
      </c>
      <c r="F78" s="182">
        <v>45041</v>
      </c>
      <c r="G78" s="186" t="s">
        <v>114</v>
      </c>
      <c r="H78" s="184" t="s">
        <v>261</v>
      </c>
      <c r="T78" s="184" t="s">
        <v>1028</v>
      </c>
    </row>
    <row r="79" spans="1:20">
      <c r="A79" s="182">
        <v>45019</v>
      </c>
      <c r="B79" s="183">
        <v>0.4067824074074074</v>
      </c>
      <c r="C79" s="184" t="s">
        <v>73</v>
      </c>
      <c r="D79" s="184" t="s">
        <v>78</v>
      </c>
      <c r="E79" s="184" t="s">
        <v>19</v>
      </c>
      <c r="F79" s="182">
        <v>45029</v>
      </c>
      <c r="G79" s="186" t="s">
        <v>99</v>
      </c>
      <c r="H79" s="184" t="s">
        <v>106</v>
      </c>
    </row>
    <row r="80" spans="1:20">
      <c r="A80" s="182">
        <v>45019</v>
      </c>
      <c r="B80" s="183">
        <v>0.44054398148148149</v>
      </c>
      <c r="C80" s="184" t="s">
        <v>67</v>
      </c>
      <c r="D80" s="184" t="s">
        <v>68</v>
      </c>
      <c r="E80" s="184" t="s">
        <v>19</v>
      </c>
      <c r="F80" s="182">
        <v>45029</v>
      </c>
      <c r="G80" s="186" t="s">
        <v>94</v>
      </c>
      <c r="H80" s="184" t="s">
        <v>256</v>
      </c>
      <c r="T80" s="184" t="s">
        <v>1029</v>
      </c>
    </row>
    <row r="81" spans="1:20">
      <c r="A81" s="182">
        <v>45019</v>
      </c>
      <c r="B81" s="183">
        <v>0.45105324074074077</v>
      </c>
      <c r="C81" s="184" t="s">
        <v>73</v>
      </c>
      <c r="D81" s="184" t="s">
        <v>68</v>
      </c>
      <c r="E81" s="184" t="s">
        <v>69</v>
      </c>
      <c r="F81" s="182">
        <v>45041</v>
      </c>
      <c r="G81" s="186" t="s">
        <v>114</v>
      </c>
      <c r="H81" s="184" t="s">
        <v>256</v>
      </c>
      <c r="T81" s="184" t="s">
        <v>776</v>
      </c>
    </row>
    <row r="82" spans="1:20">
      <c r="A82" s="182">
        <v>45019</v>
      </c>
      <c r="B82" s="183">
        <v>0.63782407407407404</v>
      </c>
      <c r="C82" s="184" t="s">
        <v>67</v>
      </c>
      <c r="D82" s="184" t="s">
        <v>68</v>
      </c>
      <c r="E82" s="184" t="s">
        <v>69</v>
      </c>
      <c r="F82" s="182">
        <v>45041</v>
      </c>
      <c r="G82" s="186" t="s">
        <v>94</v>
      </c>
      <c r="H82" s="184" t="s">
        <v>305</v>
      </c>
      <c r="T82" s="184" t="s">
        <v>257</v>
      </c>
    </row>
    <row r="83" spans="1:20">
      <c r="A83" s="182">
        <v>45019</v>
      </c>
      <c r="B83" s="183">
        <v>0.68704861111111104</v>
      </c>
      <c r="C83" s="184" t="s">
        <v>73</v>
      </c>
      <c r="D83" s="184" t="s">
        <v>68</v>
      </c>
      <c r="E83" s="184" t="s">
        <v>19</v>
      </c>
      <c r="F83" s="182">
        <v>45029</v>
      </c>
      <c r="G83" s="186" t="s">
        <v>99</v>
      </c>
      <c r="H83" s="184" t="s">
        <v>260</v>
      </c>
      <c r="T83" s="184" t="s">
        <v>1030</v>
      </c>
    </row>
    <row r="84" spans="1:20">
      <c r="A84" s="182">
        <v>45019</v>
      </c>
      <c r="B84" s="183">
        <v>0.70718749999999997</v>
      </c>
      <c r="C84" s="184" t="s">
        <v>73</v>
      </c>
      <c r="D84" s="184" t="s">
        <v>68</v>
      </c>
      <c r="E84" s="184" t="s">
        <v>19</v>
      </c>
      <c r="F84" s="182">
        <v>45029</v>
      </c>
      <c r="G84" s="186" t="s">
        <v>94</v>
      </c>
      <c r="H84" s="184" t="s">
        <v>256</v>
      </c>
      <c r="T84" s="184" t="s">
        <v>1030</v>
      </c>
    </row>
    <row r="85" spans="1:20">
      <c r="A85" s="182">
        <v>45020</v>
      </c>
      <c r="B85" s="183">
        <v>0.39339120370370373</v>
      </c>
      <c r="C85" s="184" t="s">
        <v>73</v>
      </c>
      <c r="D85" s="184" t="s">
        <v>68</v>
      </c>
      <c r="E85" s="184" t="s">
        <v>85</v>
      </c>
      <c r="F85" s="182">
        <v>45065</v>
      </c>
      <c r="G85" s="186" t="s">
        <v>94</v>
      </c>
      <c r="H85" s="184" t="s">
        <v>103</v>
      </c>
      <c r="T85" s="184" t="s">
        <v>1031</v>
      </c>
    </row>
    <row r="86" spans="1:20">
      <c r="A86" s="182">
        <v>45020</v>
      </c>
      <c r="B86" s="183">
        <v>0.41666666666666669</v>
      </c>
      <c r="C86" s="184" t="s">
        <v>67</v>
      </c>
      <c r="D86" s="184" t="s">
        <v>68</v>
      </c>
      <c r="E86" s="184" t="s">
        <v>69</v>
      </c>
      <c r="F86" s="182">
        <v>45041</v>
      </c>
      <c r="G86" s="186" t="s">
        <v>94</v>
      </c>
      <c r="H86" s="184" t="s">
        <v>322</v>
      </c>
      <c r="T86" s="184" t="s">
        <v>234</v>
      </c>
    </row>
    <row r="87" spans="1:20">
      <c r="A87" s="182">
        <v>45020</v>
      </c>
      <c r="B87" s="183">
        <v>0.67511574074074077</v>
      </c>
      <c r="C87" s="184" t="s">
        <v>67</v>
      </c>
      <c r="D87" s="184" t="s">
        <v>68</v>
      </c>
      <c r="E87" s="184" t="s">
        <v>96</v>
      </c>
      <c r="F87" s="182">
        <v>45080</v>
      </c>
      <c r="G87" s="186" t="s">
        <v>94</v>
      </c>
      <c r="H87" s="184" t="s">
        <v>87</v>
      </c>
      <c r="T87" s="184" t="s">
        <v>644</v>
      </c>
    </row>
    <row r="88" spans="1:20">
      <c r="A88" s="182">
        <v>45021</v>
      </c>
      <c r="B88" s="183">
        <v>0.45655092592592594</v>
      </c>
      <c r="C88" s="184" t="s">
        <v>67</v>
      </c>
      <c r="D88" s="184" t="s">
        <v>78</v>
      </c>
      <c r="E88" s="184" t="s">
        <v>69</v>
      </c>
      <c r="F88" s="182">
        <v>45041</v>
      </c>
      <c r="G88" s="186" t="s">
        <v>114</v>
      </c>
      <c r="H88" s="184" t="s">
        <v>98</v>
      </c>
    </row>
    <row r="89" spans="1:20">
      <c r="A89" s="182">
        <v>45021</v>
      </c>
      <c r="B89" s="183">
        <v>0.46393518518518517</v>
      </c>
      <c r="C89" s="184" t="s">
        <v>73</v>
      </c>
      <c r="D89" s="184" t="s">
        <v>68</v>
      </c>
      <c r="E89" s="184" t="s">
        <v>19</v>
      </c>
      <c r="F89" s="182">
        <v>45029</v>
      </c>
      <c r="G89" s="186" t="s">
        <v>99</v>
      </c>
      <c r="H89" s="184" t="s">
        <v>260</v>
      </c>
      <c r="T89" s="184" t="s">
        <v>1033</v>
      </c>
    </row>
    <row r="90" spans="1:20">
      <c r="A90" s="182">
        <v>45021</v>
      </c>
      <c r="B90" s="183">
        <v>0.57533564814814808</v>
      </c>
      <c r="C90" s="184" t="s">
        <v>67</v>
      </c>
      <c r="D90" s="184" t="s">
        <v>78</v>
      </c>
      <c r="E90" s="184" t="s">
        <v>69</v>
      </c>
      <c r="F90" s="182">
        <v>45041</v>
      </c>
      <c r="G90" s="186" t="s">
        <v>115</v>
      </c>
      <c r="H90" s="184" t="s">
        <v>82</v>
      </c>
    </row>
    <row r="91" spans="1:20">
      <c r="A91" s="182">
        <v>45021</v>
      </c>
      <c r="B91" s="183">
        <v>0.57550925925925933</v>
      </c>
      <c r="C91" s="184" t="s">
        <v>67</v>
      </c>
      <c r="D91" s="184" t="s">
        <v>78</v>
      </c>
      <c r="E91" s="184" t="s">
        <v>69</v>
      </c>
      <c r="F91" s="182">
        <v>45114</v>
      </c>
      <c r="G91" s="186" t="s">
        <v>1034</v>
      </c>
      <c r="H91" s="184" t="s">
        <v>107</v>
      </c>
    </row>
    <row r="92" spans="1:20">
      <c r="A92" s="182">
        <v>45022</v>
      </c>
      <c r="B92" s="183">
        <v>0.38406249999999997</v>
      </c>
      <c r="C92" s="184" t="s">
        <v>67</v>
      </c>
      <c r="D92" s="184" t="s">
        <v>68</v>
      </c>
      <c r="E92" s="184" t="s">
        <v>69</v>
      </c>
      <c r="F92" s="182">
        <v>45041</v>
      </c>
      <c r="G92" s="186" t="s">
        <v>94</v>
      </c>
      <c r="H92" s="184" t="s">
        <v>185</v>
      </c>
      <c r="T92" s="184" t="s">
        <v>1035</v>
      </c>
    </row>
    <row r="93" spans="1:20">
      <c r="A93" s="182">
        <v>45026</v>
      </c>
      <c r="B93" s="183">
        <v>0.40459490740740739</v>
      </c>
      <c r="C93" s="184" t="s">
        <v>73</v>
      </c>
      <c r="D93" s="184" t="s">
        <v>68</v>
      </c>
      <c r="E93" s="184" t="s">
        <v>95</v>
      </c>
      <c r="F93" s="182">
        <v>45055</v>
      </c>
      <c r="G93" s="186" t="s">
        <v>94</v>
      </c>
      <c r="H93" s="184" t="s">
        <v>182</v>
      </c>
      <c r="T93" s="184" t="s">
        <v>1036</v>
      </c>
    </row>
    <row r="94" spans="1:20">
      <c r="A94" s="182">
        <v>45026</v>
      </c>
      <c r="B94" s="183">
        <v>0.45377314814814818</v>
      </c>
      <c r="C94" s="184" t="s">
        <v>73</v>
      </c>
      <c r="D94" s="184" t="s">
        <v>78</v>
      </c>
      <c r="E94" s="184" t="s">
        <v>96</v>
      </c>
      <c r="F94" s="182">
        <v>45080</v>
      </c>
      <c r="G94" s="186" t="s">
        <v>70</v>
      </c>
      <c r="H94" s="184" t="s">
        <v>86</v>
      </c>
    </row>
    <row r="95" spans="1:20">
      <c r="A95" s="182">
        <v>45026</v>
      </c>
      <c r="B95" s="183">
        <v>0.45408564814814811</v>
      </c>
      <c r="C95" s="184" t="s">
        <v>73</v>
      </c>
      <c r="D95" s="184" t="s">
        <v>78</v>
      </c>
      <c r="E95" s="184" t="s">
        <v>19</v>
      </c>
      <c r="F95" s="182">
        <v>45029</v>
      </c>
      <c r="G95" s="186" t="s">
        <v>99</v>
      </c>
      <c r="H95" s="184" t="s">
        <v>107</v>
      </c>
    </row>
    <row r="96" spans="1:20">
      <c r="A96" s="182">
        <v>45026</v>
      </c>
      <c r="B96" s="183">
        <v>0.45431712962962961</v>
      </c>
      <c r="C96" s="184" t="s">
        <v>73</v>
      </c>
      <c r="D96" s="184" t="s">
        <v>78</v>
      </c>
      <c r="E96" s="184" t="s">
        <v>19</v>
      </c>
      <c r="F96" s="182">
        <v>45099</v>
      </c>
      <c r="G96" s="186" t="s">
        <v>94</v>
      </c>
      <c r="H96" s="184" t="s">
        <v>107</v>
      </c>
    </row>
    <row r="97" spans="1:20">
      <c r="A97" s="182">
        <v>45026</v>
      </c>
      <c r="B97" s="183">
        <v>0.45446759259259256</v>
      </c>
      <c r="C97" s="184" t="s">
        <v>73</v>
      </c>
      <c r="D97" s="184" t="s">
        <v>78</v>
      </c>
      <c r="E97" s="184" t="s">
        <v>85</v>
      </c>
      <c r="F97" s="182">
        <v>45133</v>
      </c>
      <c r="G97" s="186" t="s">
        <v>70</v>
      </c>
      <c r="H97" s="184" t="s">
        <v>86</v>
      </c>
    </row>
    <row r="98" spans="1:20">
      <c r="A98" s="182">
        <v>45026</v>
      </c>
      <c r="B98" s="183">
        <v>0.45462962962962966</v>
      </c>
      <c r="C98" s="184" t="s">
        <v>73</v>
      </c>
      <c r="D98" s="184" t="s">
        <v>78</v>
      </c>
      <c r="E98" s="184" t="s">
        <v>69</v>
      </c>
      <c r="F98" s="182">
        <v>45041</v>
      </c>
      <c r="G98" s="186" t="s">
        <v>114</v>
      </c>
      <c r="H98" s="184" t="s">
        <v>98</v>
      </c>
    </row>
    <row r="99" spans="1:20">
      <c r="A99" s="182">
        <v>45027</v>
      </c>
      <c r="B99" s="183">
        <v>0.40611111111111109</v>
      </c>
      <c r="C99" s="184" t="s">
        <v>73</v>
      </c>
      <c r="D99" s="184" t="s">
        <v>68</v>
      </c>
      <c r="E99" s="184" t="s">
        <v>69</v>
      </c>
      <c r="F99" s="182">
        <v>45041</v>
      </c>
      <c r="G99" s="186" t="s">
        <v>94</v>
      </c>
      <c r="H99" s="184" t="s">
        <v>308</v>
      </c>
      <c r="T99" s="184" t="s">
        <v>1037</v>
      </c>
    </row>
    <row r="100" spans="1:20">
      <c r="A100" s="182">
        <v>45027</v>
      </c>
      <c r="B100" s="183">
        <v>0.59471064814814811</v>
      </c>
      <c r="C100" s="184" t="s">
        <v>73</v>
      </c>
      <c r="D100" s="184" t="s">
        <v>68</v>
      </c>
      <c r="E100" s="184" t="s">
        <v>85</v>
      </c>
      <c r="F100" s="182">
        <v>45065</v>
      </c>
      <c r="G100" s="186" t="s">
        <v>112</v>
      </c>
      <c r="H100" s="184" t="s">
        <v>259</v>
      </c>
      <c r="T100" s="184" t="s">
        <v>1038</v>
      </c>
    </row>
    <row r="101" spans="1:20">
      <c r="A101" s="182">
        <v>45028</v>
      </c>
      <c r="B101" s="183">
        <v>0.47391203703703705</v>
      </c>
      <c r="C101" s="184" t="s">
        <v>67</v>
      </c>
      <c r="D101" s="184" t="s">
        <v>159</v>
      </c>
      <c r="E101" s="184" t="s">
        <v>19</v>
      </c>
      <c r="F101" s="182">
        <v>45099</v>
      </c>
      <c r="G101" s="186" t="s">
        <v>70</v>
      </c>
      <c r="H101" s="184" t="s">
        <v>216</v>
      </c>
    </row>
    <row r="102" spans="1:20">
      <c r="A102" s="182">
        <v>45028</v>
      </c>
      <c r="B102" s="183">
        <v>0.49307870370370371</v>
      </c>
      <c r="C102" s="184" t="s">
        <v>67</v>
      </c>
      <c r="D102" s="184" t="s">
        <v>159</v>
      </c>
      <c r="E102" s="184" t="s">
        <v>19</v>
      </c>
      <c r="F102" s="182">
        <v>45099</v>
      </c>
      <c r="G102" s="186" t="s">
        <v>94</v>
      </c>
      <c r="H102" s="184" t="s">
        <v>215</v>
      </c>
    </row>
    <row r="103" spans="1:20">
      <c r="A103" s="182">
        <v>45028</v>
      </c>
      <c r="B103" s="183">
        <v>0.49328703703703702</v>
      </c>
      <c r="C103" s="184" t="s">
        <v>67</v>
      </c>
      <c r="D103" s="184" t="s">
        <v>159</v>
      </c>
      <c r="E103" s="184" t="s">
        <v>96</v>
      </c>
      <c r="F103" s="182">
        <v>45080</v>
      </c>
      <c r="G103" s="186" t="s">
        <v>75</v>
      </c>
      <c r="H103" s="184" t="s">
        <v>215</v>
      </c>
    </row>
    <row r="104" spans="1:20">
      <c r="A104" s="182">
        <v>45028</v>
      </c>
      <c r="B104" s="183">
        <v>0.50336805555555553</v>
      </c>
      <c r="C104" s="184" t="s">
        <v>67</v>
      </c>
      <c r="D104" s="184" t="s">
        <v>91</v>
      </c>
      <c r="E104" s="184" t="s">
        <v>19</v>
      </c>
      <c r="F104" s="182">
        <v>45099</v>
      </c>
      <c r="G104" s="186" t="s">
        <v>75</v>
      </c>
      <c r="H104" s="184" t="s">
        <v>92</v>
      </c>
    </row>
    <row r="105" spans="1:20">
      <c r="A105" s="182">
        <v>45028</v>
      </c>
      <c r="B105" s="183">
        <v>0.58021990740740736</v>
      </c>
      <c r="C105" s="184" t="s">
        <v>67</v>
      </c>
      <c r="D105" s="184" t="s">
        <v>78</v>
      </c>
      <c r="E105" s="184" t="s">
        <v>19</v>
      </c>
      <c r="F105" s="182">
        <v>45099</v>
      </c>
      <c r="G105" s="186" t="s">
        <v>94</v>
      </c>
      <c r="H105" s="184" t="s">
        <v>106</v>
      </c>
    </row>
    <row r="106" spans="1:20">
      <c r="A106" s="182">
        <v>45028</v>
      </c>
      <c r="B106" s="183">
        <v>0.58038194444444446</v>
      </c>
      <c r="C106" s="184" t="s">
        <v>67</v>
      </c>
      <c r="D106" s="184" t="s">
        <v>78</v>
      </c>
      <c r="E106" s="184" t="s">
        <v>124</v>
      </c>
      <c r="F106" s="182">
        <v>45128</v>
      </c>
      <c r="G106" s="186" t="s">
        <v>94</v>
      </c>
      <c r="H106" s="184" t="s">
        <v>265</v>
      </c>
    </row>
    <row r="107" spans="1:20">
      <c r="A107" s="182">
        <v>45028</v>
      </c>
      <c r="B107" s="183">
        <v>0.58090277777777777</v>
      </c>
      <c r="C107" s="184" t="s">
        <v>67</v>
      </c>
      <c r="D107" s="184" t="s">
        <v>78</v>
      </c>
      <c r="E107" s="184" t="s">
        <v>69</v>
      </c>
      <c r="F107" s="182">
        <v>45041</v>
      </c>
      <c r="G107" s="186" t="s">
        <v>99</v>
      </c>
      <c r="H107" s="184" t="s">
        <v>80</v>
      </c>
    </row>
    <row r="108" spans="1:20">
      <c r="A108" s="182">
        <v>45028</v>
      </c>
      <c r="B108" s="183">
        <v>0.58105324074074072</v>
      </c>
      <c r="C108" s="184" t="s">
        <v>67</v>
      </c>
      <c r="D108" s="184" t="s">
        <v>78</v>
      </c>
      <c r="E108" s="184" t="s">
        <v>69</v>
      </c>
      <c r="F108" s="182">
        <v>45205</v>
      </c>
      <c r="G108" s="186" t="s">
        <v>70</v>
      </c>
      <c r="H108" s="184" t="s">
        <v>86</v>
      </c>
    </row>
    <row r="109" spans="1:20">
      <c r="A109" s="182">
        <v>45028</v>
      </c>
      <c r="B109" s="183">
        <v>0.70834490740740741</v>
      </c>
      <c r="C109" s="184" t="s">
        <v>67</v>
      </c>
      <c r="D109" s="184" t="s">
        <v>68</v>
      </c>
      <c r="E109" s="184" t="s">
        <v>69</v>
      </c>
      <c r="F109" s="182">
        <v>45041</v>
      </c>
      <c r="G109" s="186" t="s">
        <v>114</v>
      </c>
      <c r="H109" s="184" t="s">
        <v>206</v>
      </c>
      <c r="T109" s="184" t="s">
        <v>1039</v>
      </c>
    </row>
    <row r="110" spans="1:20">
      <c r="A110" s="182">
        <v>45029</v>
      </c>
      <c r="B110" s="183">
        <v>0.40681712962962963</v>
      </c>
      <c r="C110" s="184" t="s">
        <v>73</v>
      </c>
      <c r="D110" s="184" t="s">
        <v>68</v>
      </c>
      <c r="E110" s="184" t="s">
        <v>19</v>
      </c>
      <c r="F110" s="182">
        <v>45099</v>
      </c>
      <c r="G110" s="186" t="s">
        <v>70</v>
      </c>
      <c r="H110" s="184" t="s">
        <v>71</v>
      </c>
      <c r="T110" s="184" t="s">
        <v>1040</v>
      </c>
    </row>
    <row r="111" spans="1:20">
      <c r="A111" s="182">
        <v>45029</v>
      </c>
      <c r="B111" s="183">
        <v>0.40739583333333335</v>
      </c>
      <c r="C111" s="184" t="s">
        <v>73</v>
      </c>
      <c r="D111" s="184" t="s">
        <v>68</v>
      </c>
      <c r="E111" s="184" t="s">
        <v>45</v>
      </c>
      <c r="F111" s="182">
        <v>45114</v>
      </c>
      <c r="G111" s="186" t="s">
        <v>94</v>
      </c>
      <c r="H111" s="184" t="s">
        <v>87</v>
      </c>
      <c r="T111" s="184" t="s">
        <v>1040</v>
      </c>
    </row>
    <row r="112" spans="1:20">
      <c r="A112" s="182">
        <v>45029</v>
      </c>
      <c r="B112" s="183">
        <v>0.61429398148148151</v>
      </c>
      <c r="C112" s="184" t="s">
        <v>73</v>
      </c>
      <c r="D112" s="184" t="s">
        <v>68</v>
      </c>
      <c r="E112" s="184" t="s">
        <v>45</v>
      </c>
      <c r="F112" s="182">
        <v>45038</v>
      </c>
      <c r="G112" s="186" t="s">
        <v>99</v>
      </c>
      <c r="H112" s="184" t="s">
        <v>182</v>
      </c>
      <c r="T112" s="184" t="s">
        <v>409</v>
      </c>
    </row>
    <row r="113" spans="1:20">
      <c r="A113" s="182">
        <v>45029</v>
      </c>
      <c r="B113" s="183">
        <v>0.6166666666666667</v>
      </c>
      <c r="C113" s="184" t="s">
        <v>73</v>
      </c>
      <c r="D113" s="184" t="s">
        <v>68</v>
      </c>
      <c r="E113" s="184" t="s">
        <v>69</v>
      </c>
      <c r="F113" s="182">
        <v>45041</v>
      </c>
      <c r="G113" s="186" t="s">
        <v>112</v>
      </c>
      <c r="H113" s="184" t="s">
        <v>213</v>
      </c>
      <c r="T113" s="184" t="s">
        <v>478</v>
      </c>
    </row>
    <row r="114" spans="1:20">
      <c r="A114" s="182">
        <v>45029</v>
      </c>
      <c r="B114" s="183">
        <v>0.70664351851851848</v>
      </c>
      <c r="C114" s="184" t="s">
        <v>73</v>
      </c>
      <c r="D114" s="184" t="s">
        <v>68</v>
      </c>
      <c r="E114" s="184" t="s">
        <v>124</v>
      </c>
      <c r="F114" s="182">
        <v>45128</v>
      </c>
      <c r="G114" s="186" t="s">
        <v>94</v>
      </c>
      <c r="H114" s="184" t="s">
        <v>101</v>
      </c>
      <c r="T114" s="184" t="s">
        <v>1041</v>
      </c>
    </row>
    <row r="115" spans="1:20">
      <c r="A115" s="182">
        <v>45030</v>
      </c>
      <c r="B115" s="183">
        <v>0.52947916666666661</v>
      </c>
      <c r="C115" s="184" t="s">
        <v>67</v>
      </c>
      <c r="D115" s="184" t="s">
        <v>68</v>
      </c>
      <c r="E115" s="184" t="s">
        <v>19</v>
      </c>
      <c r="F115" s="182">
        <v>45099</v>
      </c>
      <c r="G115" s="186" t="s">
        <v>114</v>
      </c>
      <c r="H115" s="184" t="s">
        <v>87</v>
      </c>
      <c r="T115" s="184" t="s">
        <v>1042</v>
      </c>
    </row>
    <row r="116" spans="1:20">
      <c r="A116" s="182">
        <v>45030</v>
      </c>
      <c r="B116" s="183">
        <v>0.62728009259259265</v>
      </c>
      <c r="C116" s="184" t="s">
        <v>67</v>
      </c>
      <c r="D116" s="184" t="s">
        <v>68</v>
      </c>
      <c r="E116" s="184" t="s">
        <v>69</v>
      </c>
      <c r="F116" s="182">
        <v>45041</v>
      </c>
      <c r="G116" s="186" t="s">
        <v>94</v>
      </c>
      <c r="H116" s="184" t="s">
        <v>225</v>
      </c>
      <c r="T116" s="184" t="s">
        <v>1043</v>
      </c>
    </row>
    <row r="117" spans="1:20">
      <c r="A117" s="182">
        <v>45033</v>
      </c>
      <c r="B117" s="183">
        <v>0.42354166666666665</v>
      </c>
      <c r="C117" s="184" t="s">
        <v>67</v>
      </c>
      <c r="D117" s="184" t="s">
        <v>68</v>
      </c>
      <c r="E117" s="184" t="s">
        <v>96</v>
      </c>
      <c r="F117" s="182">
        <v>45118</v>
      </c>
      <c r="G117" s="186" t="s">
        <v>94</v>
      </c>
      <c r="H117" s="184" t="s">
        <v>101</v>
      </c>
      <c r="T117" s="184" t="s">
        <v>1044</v>
      </c>
    </row>
    <row r="118" spans="1:20">
      <c r="A118" s="182">
        <v>45033</v>
      </c>
      <c r="B118" s="183">
        <v>0.54596064814814815</v>
      </c>
      <c r="C118" s="184" t="s">
        <v>67</v>
      </c>
      <c r="D118" s="184" t="s">
        <v>68</v>
      </c>
      <c r="E118" s="184" t="s">
        <v>95</v>
      </c>
      <c r="F118" s="182">
        <v>45055</v>
      </c>
      <c r="G118" s="186" t="s">
        <v>94</v>
      </c>
      <c r="H118" s="184" t="s">
        <v>117</v>
      </c>
      <c r="T118" s="184" t="s">
        <v>1045</v>
      </c>
    </row>
    <row r="119" spans="1:20">
      <c r="A119" s="182">
        <v>45033</v>
      </c>
      <c r="B119" s="183">
        <v>0.60015046296296293</v>
      </c>
      <c r="C119" s="184" t="s">
        <v>67</v>
      </c>
      <c r="D119" s="184" t="s">
        <v>91</v>
      </c>
      <c r="E119" s="184" t="s">
        <v>45</v>
      </c>
      <c r="F119" s="182">
        <v>45114</v>
      </c>
      <c r="G119" s="186" t="s">
        <v>75</v>
      </c>
      <c r="H119" s="184" t="s">
        <v>92</v>
      </c>
    </row>
    <row r="120" spans="1:20">
      <c r="A120" s="182">
        <v>45034</v>
      </c>
      <c r="B120" s="183">
        <v>0.38108796296296293</v>
      </c>
      <c r="C120" s="184" t="s">
        <v>67</v>
      </c>
      <c r="D120" s="184" t="s">
        <v>68</v>
      </c>
      <c r="E120" s="184" t="s">
        <v>96</v>
      </c>
      <c r="F120" s="182">
        <v>45118</v>
      </c>
      <c r="G120" s="186" t="s">
        <v>114</v>
      </c>
      <c r="H120" s="184" t="s">
        <v>182</v>
      </c>
      <c r="T120" s="184" t="s">
        <v>1046</v>
      </c>
    </row>
    <row r="121" spans="1:20">
      <c r="A121" s="182">
        <v>45034</v>
      </c>
      <c r="B121" s="183">
        <v>0.47340277777777778</v>
      </c>
      <c r="C121" s="184" t="s">
        <v>73</v>
      </c>
      <c r="D121" s="184" t="s">
        <v>68</v>
      </c>
      <c r="E121" s="184" t="s">
        <v>95</v>
      </c>
      <c r="F121" s="182">
        <v>45055</v>
      </c>
      <c r="G121" s="186" t="s">
        <v>70</v>
      </c>
      <c r="H121" s="184" t="s">
        <v>259</v>
      </c>
      <c r="T121" s="184" t="s">
        <v>1047</v>
      </c>
    </row>
    <row r="122" spans="1:20">
      <c r="A122" s="182">
        <v>45034</v>
      </c>
      <c r="B122" s="183">
        <v>0.65917824074074072</v>
      </c>
      <c r="C122" s="184" t="s">
        <v>73</v>
      </c>
      <c r="D122" s="184" t="s">
        <v>159</v>
      </c>
      <c r="E122" s="184" t="s">
        <v>95</v>
      </c>
      <c r="F122" s="182">
        <v>45055</v>
      </c>
      <c r="G122" s="186" t="s">
        <v>70</v>
      </c>
      <c r="H122" s="184" t="s">
        <v>216</v>
      </c>
      <c r="I122" s="184" t="s">
        <v>1048</v>
      </c>
    </row>
    <row r="123" spans="1:20">
      <c r="A123" s="182">
        <v>45034</v>
      </c>
      <c r="B123" s="183">
        <v>0.67329861111111111</v>
      </c>
      <c r="C123" s="184" t="s">
        <v>67</v>
      </c>
      <c r="D123" s="184" t="s">
        <v>78</v>
      </c>
      <c r="E123" s="184" t="s">
        <v>45</v>
      </c>
      <c r="F123" s="182">
        <v>45038</v>
      </c>
      <c r="G123" s="186" t="s">
        <v>114</v>
      </c>
      <c r="H123" s="184" t="s">
        <v>265</v>
      </c>
    </row>
    <row r="124" spans="1:20">
      <c r="A124" s="182">
        <v>45034</v>
      </c>
      <c r="B124" s="183">
        <v>0.6734606481481481</v>
      </c>
      <c r="C124" s="184" t="s">
        <v>67</v>
      </c>
      <c r="D124" s="184" t="s">
        <v>78</v>
      </c>
      <c r="E124" s="184" t="s">
        <v>95</v>
      </c>
      <c r="F124" s="182">
        <v>45055</v>
      </c>
      <c r="G124" s="186" t="s">
        <v>99</v>
      </c>
      <c r="H124" s="184" t="s">
        <v>107</v>
      </c>
    </row>
    <row r="125" spans="1:20">
      <c r="A125" s="182">
        <v>45034</v>
      </c>
      <c r="B125" s="183">
        <v>0.67380787037037038</v>
      </c>
      <c r="C125" s="184" t="s">
        <v>67</v>
      </c>
      <c r="D125" s="184" t="s">
        <v>78</v>
      </c>
      <c r="E125" s="184" t="s">
        <v>45</v>
      </c>
      <c r="F125" s="182">
        <v>45038</v>
      </c>
      <c r="G125" s="186" t="s">
        <v>112</v>
      </c>
      <c r="H125" s="184" t="s">
        <v>327</v>
      </c>
    </row>
    <row r="126" spans="1:20">
      <c r="A126" s="182">
        <v>45035</v>
      </c>
      <c r="B126" s="183">
        <v>0.50546296296296289</v>
      </c>
      <c r="C126" s="184" t="s">
        <v>67</v>
      </c>
      <c r="D126" s="184" t="s">
        <v>159</v>
      </c>
      <c r="E126" s="184" t="s">
        <v>96</v>
      </c>
      <c r="F126" s="182">
        <v>45118</v>
      </c>
      <c r="G126" s="186" t="s">
        <v>94</v>
      </c>
      <c r="H126" s="184" t="s">
        <v>216</v>
      </c>
    </row>
    <row r="127" spans="1:20">
      <c r="A127" s="182">
        <v>45035</v>
      </c>
      <c r="B127" s="183">
        <v>0.50586805555555558</v>
      </c>
      <c r="C127" s="184" t="s">
        <v>67</v>
      </c>
      <c r="D127" s="184" t="s">
        <v>91</v>
      </c>
      <c r="E127" s="184" t="s">
        <v>96</v>
      </c>
      <c r="F127" s="182">
        <v>45080</v>
      </c>
      <c r="G127" s="186" t="s">
        <v>553</v>
      </c>
      <c r="H127" s="184" t="s">
        <v>285</v>
      </c>
    </row>
    <row r="128" spans="1:20">
      <c r="A128" s="182">
        <v>45035</v>
      </c>
      <c r="B128" s="183">
        <v>0.55707175925925922</v>
      </c>
      <c r="C128" s="184" t="s">
        <v>67</v>
      </c>
      <c r="D128" s="184" t="s">
        <v>68</v>
      </c>
      <c r="E128" s="184" t="s">
        <v>95</v>
      </c>
      <c r="F128" s="182">
        <v>45055</v>
      </c>
      <c r="G128" s="186" t="s">
        <v>94</v>
      </c>
      <c r="H128" s="184" t="s">
        <v>273</v>
      </c>
      <c r="T128" s="184" t="s">
        <v>1049</v>
      </c>
    </row>
    <row r="129" spans="1:20">
      <c r="A129" s="182">
        <v>45035</v>
      </c>
      <c r="B129" s="183">
        <v>0.57134259259259257</v>
      </c>
      <c r="C129" s="184" t="s">
        <v>67</v>
      </c>
      <c r="D129" s="184" t="s">
        <v>68</v>
      </c>
      <c r="E129" s="184" t="s">
        <v>96</v>
      </c>
      <c r="F129" s="182">
        <v>45118</v>
      </c>
      <c r="G129" s="186" t="s">
        <v>94</v>
      </c>
      <c r="H129" s="184" t="s">
        <v>117</v>
      </c>
      <c r="T129" s="184" t="s">
        <v>161</v>
      </c>
    </row>
    <row r="130" spans="1:20">
      <c r="A130" s="182">
        <v>45035</v>
      </c>
      <c r="B130" s="183">
        <v>0.68263888888888891</v>
      </c>
      <c r="C130" s="184" t="s">
        <v>67</v>
      </c>
      <c r="D130" s="184" t="s">
        <v>91</v>
      </c>
      <c r="E130" s="184" t="s">
        <v>19</v>
      </c>
      <c r="F130" s="182">
        <v>45099</v>
      </c>
      <c r="G130" s="186" t="s">
        <v>114</v>
      </c>
      <c r="H130" s="184" t="s">
        <v>285</v>
      </c>
    </row>
    <row r="131" spans="1:20">
      <c r="A131" s="182">
        <v>45036</v>
      </c>
      <c r="B131" s="183">
        <v>0.41582175925925924</v>
      </c>
      <c r="C131" s="184" t="s">
        <v>67</v>
      </c>
      <c r="D131" s="184" t="s">
        <v>68</v>
      </c>
      <c r="E131" s="184" t="s">
        <v>45</v>
      </c>
      <c r="F131" s="182">
        <v>45114</v>
      </c>
      <c r="G131" s="186" t="s">
        <v>114</v>
      </c>
      <c r="H131" s="184" t="s">
        <v>103</v>
      </c>
      <c r="T131" s="184" t="s">
        <v>1050</v>
      </c>
    </row>
    <row r="132" spans="1:20">
      <c r="A132" s="182">
        <v>45036</v>
      </c>
      <c r="B132" s="183">
        <v>0.44673611111111106</v>
      </c>
      <c r="C132" s="184" t="s">
        <v>67</v>
      </c>
      <c r="D132" s="184" t="s">
        <v>68</v>
      </c>
      <c r="E132" s="184" t="s">
        <v>124</v>
      </c>
      <c r="F132" s="182">
        <v>45128</v>
      </c>
      <c r="G132" s="186" t="s">
        <v>94</v>
      </c>
      <c r="H132" s="184" t="s">
        <v>103</v>
      </c>
      <c r="T132" s="184" t="s">
        <v>1051</v>
      </c>
    </row>
    <row r="133" spans="1:20">
      <c r="A133" s="182">
        <v>45036</v>
      </c>
      <c r="B133" s="183">
        <v>0.49928240740740742</v>
      </c>
      <c r="C133" s="184" t="s">
        <v>67</v>
      </c>
      <c r="D133" s="184" t="s">
        <v>91</v>
      </c>
      <c r="E133" s="184" t="s">
        <v>95</v>
      </c>
      <c r="F133" s="182">
        <v>45055</v>
      </c>
      <c r="G133" s="186" t="s">
        <v>70</v>
      </c>
      <c r="H133" s="184" t="s">
        <v>93</v>
      </c>
    </row>
    <row r="134" spans="1:20">
      <c r="A134" s="182">
        <v>45036</v>
      </c>
      <c r="B134" s="183">
        <v>0.59207175925925926</v>
      </c>
      <c r="C134" s="184" t="s">
        <v>67</v>
      </c>
      <c r="D134" s="184" t="s">
        <v>68</v>
      </c>
      <c r="E134" s="184" t="s">
        <v>89</v>
      </c>
      <c r="F134" s="182">
        <v>45121</v>
      </c>
      <c r="G134" s="186" t="s">
        <v>70</v>
      </c>
      <c r="H134" s="184" t="s">
        <v>71</v>
      </c>
      <c r="T134" s="184" t="s">
        <v>1052</v>
      </c>
    </row>
    <row r="135" spans="1:20">
      <c r="A135" s="182">
        <v>45037</v>
      </c>
      <c r="B135" s="183">
        <v>0.48540509259259257</v>
      </c>
      <c r="C135" s="184" t="s">
        <v>67</v>
      </c>
      <c r="D135" s="184" t="s">
        <v>78</v>
      </c>
      <c r="E135" s="184" t="s">
        <v>96</v>
      </c>
      <c r="F135" s="182">
        <v>45118</v>
      </c>
      <c r="G135" s="186" t="s">
        <v>75</v>
      </c>
      <c r="H135" s="184" t="s">
        <v>107</v>
      </c>
    </row>
    <row r="136" spans="1:20">
      <c r="A136" s="182">
        <v>45040</v>
      </c>
      <c r="B136" s="183">
        <v>0.42505787037037041</v>
      </c>
      <c r="C136" s="184" t="s">
        <v>73</v>
      </c>
      <c r="D136" s="184" t="s">
        <v>91</v>
      </c>
      <c r="E136" s="184" t="s">
        <v>124</v>
      </c>
      <c r="F136" s="182">
        <v>45128</v>
      </c>
      <c r="G136" s="186" t="s">
        <v>75</v>
      </c>
      <c r="H136" s="184" t="s">
        <v>92</v>
      </c>
    </row>
    <row r="137" spans="1:20">
      <c r="A137" s="182">
        <v>45040</v>
      </c>
      <c r="B137" s="183">
        <v>0.4430324074074074</v>
      </c>
      <c r="C137" s="184" t="s">
        <v>67</v>
      </c>
      <c r="D137" s="184" t="s">
        <v>78</v>
      </c>
      <c r="E137" s="184" t="s">
        <v>89</v>
      </c>
      <c r="F137" s="182">
        <v>45121</v>
      </c>
      <c r="G137" s="186" t="s">
        <v>114</v>
      </c>
      <c r="H137" s="184" t="s">
        <v>113</v>
      </c>
    </row>
    <row r="138" spans="1:20">
      <c r="A138" s="182">
        <v>45040</v>
      </c>
      <c r="B138" s="183">
        <v>0.47627314814814814</v>
      </c>
      <c r="C138" s="184" t="s">
        <v>73</v>
      </c>
      <c r="D138" s="184" t="s">
        <v>68</v>
      </c>
      <c r="E138" s="184" t="s">
        <v>96</v>
      </c>
      <c r="F138" s="182">
        <v>45080</v>
      </c>
      <c r="G138" s="186" t="s">
        <v>114</v>
      </c>
      <c r="H138" s="184" t="s">
        <v>103</v>
      </c>
      <c r="T138" s="184" t="s">
        <v>1053</v>
      </c>
    </row>
    <row r="139" spans="1:20">
      <c r="A139" s="182">
        <v>45040</v>
      </c>
      <c r="B139" s="183">
        <v>0.67957175925925928</v>
      </c>
      <c r="C139" s="184" t="s">
        <v>73</v>
      </c>
      <c r="D139" s="184" t="s">
        <v>68</v>
      </c>
      <c r="E139" s="184" t="s">
        <v>45</v>
      </c>
      <c r="F139" s="182">
        <v>45114</v>
      </c>
      <c r="G139" s="186" t="s">
        <v>99</v>
      </c>
      <c r="H139" s="184" t="s">
        <v>101</v>
      </c>
      <c r="T139" s="184" t="s">
        <v>1040</v>
      </c>
    </row>
    <row r="140" spans="1:20">
      <c r="A140" s="182">
        <v>45041</v>
      </c>
      <c r="B140" s="183">
        <v>0.47195601851851854</v>
      </c>
      <c r="C140" s="184" t="s">
        <v>73</v>
      </c>
      <c r="D140" s="184" t="s">
        <v>68</v>
      </c>
      <c r="E140" s="184" t="s">
        <v>96</v>
      </c>
      <c r="F140" s="182">
        <v>45118</v>
      </c>
      <c r="G140" s="186" t="s">
        <v>94</v>
      </c>
      <c r="H140" s="184" t="s">
        <v>259</v>
      </c>
      <c r="T140" s="184" t="s">
        <v>645</v>
      </c>
    </row>
    <row r="141" spans="1:20">
      <c r="A141" s="182">
        <v>45041</v>
      </c>
      <c r="B141" s="183">
        <v>0.47281250000000002</v>
      </c>
      <c r="C141" s="184" t="s">
        <v>73</v>
      </c>
      <c r="D141" s="184" t="s">
        <v>68</v>
      </c>
      <c r="E141" s="184" t="s">
        <v>19</v>
      </c>
      <c r="F141" s="182">
        <v>45099</v>
      </c>
      <c r="G141" s="186" t="s">
        <v>94</v>
      </c>
      <c r="H141" s="184" t="s">
        <v>101</v>
      </c>
      <c r="T141" s="184" t="s">
        <v>645</v>
      </c>
    </row>
    <row r="142" spans="1:20">
      <c r="A142" s="182">
        <v>45041</v>
      </c>
      <c r="B142" s="183">
        <v>0.4734606481481482</v>
      </c>
      <c r="C142" s="184" t="s">
        <v>73</v>
      </c>
      <c r="D142" s="184" t="s">
        <v>68</v>
      </c>
      <c r="E142" s="184" t="s">
        <v>45</v>
      </c>
      <c r="F142" s="182">
        <v>45114</v>
      </c>
      <c r="G142" s="186" t="s">
        <v>94</v>
      </c>
      <c r="H142" s="184" t="s">
        <v>103</v>
      </c>
      <c r="T142" s="184" t="s">
        <v>645</v>
      </c>
    </row>
    <row r="143" spans="1:20">
      <c r="A143" s="182">
        <v>45042</v>
      </c>
      <c r="B143" s="183">
        <v>0.40760416666666671</v>
      </c>
      <c r="C143" s="184" t="s">
        <v>67</v>
      </c>
      <c r="D143" s="184" t="s">
        <v>91</v>
      </c>
      <c r="E143" s="184" t="s">
        <v>96</v>
      </c>
      <c r="F143" s="182">
        <v>45080</v>
      </c>
      <c r="G143" s="186" t="s">
        <v>112</v>
      </c>
      <c r="H143" s="184" t="s">
        <v>189</v>
      </c>
    </row>
    <row r="144" spans="1:20">
      <c r="A144" s="182">
        <v>45042</v>
      </c>
      <c r="B144" s="183">
        <v>0.53408564814814818</v>
      </c>
      <c r="C144" s="184" t="s">
        <v>67</v>
      </c>
      <c r="D144" s="184" t="s">
        <v>91</v>
      </c>
      <c r="E144" s="184" t="s">
        <v>69</v>
      </c>
      <c r="F144" s="182">
        <v>45114</v>
      </c>
      <c r="G144" s="186" t="s">
        <v>75</v>
      </c>
      <c r="H144" s="184" t="s">
        <v>92</v>
      </c>
    </row>
    <row r="145" spans="1:20">
      <c r="A145" s="182">
        <v>45042</v>
      </c>
      <c r="B145" s="183">
        <v>0.55152777777777773</v>
      </c>
      <c r="C145" s="184" t="s">
        <v>73</v>
      </c>
      <c r="D145" s="184" t="s">
        <v>68</v>
      </c>
      <c r="E145" s="184" t="s">
        <v>45</v>
      </c>
      <c r="F145" s="182">
        <v>45114</v>
      </c>
      <c r="G145" s="186" t="s">
        <v>114</v>
      </c>
      <c r="H145" s="184" t="s">
        <v>117</v>
      </c>
      <c r="T145" s="184" t="s">
        <v>790</v>
      </c>
    </row>
    <row r="146" spans="1:20">
      <c r="A146" s="182">
        <v>45042</v>
      </c>
      <c r="B146" s="183">
        <v>0.56120370370370376</v>
      </c>
      <c r="C146" s="184" t="s">
        <v>67</v>
      </c>
      <c r="D146" s="184" t="s">
        <v>91</v>
      </c>
      <c r="E146" s="184" t="s">
        <v>85</v>
      </c>
      <c r="F146" s="182">
        <v>45133</v>
      </c>
      <c r="G146" s="186" t="s">
        <v>553</v>
      </c>
      <c r="H146" s="184" t="s">
        <v>285</v>
      </c>
    </row>
    <row r="147" spans="1:20">
      <c r="A147" s="182">
        <v>45042</v>
      </c>
      <c r="B147" s="183">
        <v>0.68017361111111108</v>
      </c>
      <c r="C147" s="184" t="s">
        <v>73</v>
      </c>
      <c r="D147" s="184" t="s">
        <v>68</v>
      </c>
      <c r="E147" s="184" t="s">
        <v>96</v>
      </c>
      <c r="F147" s="182">
        <v>45080</v>
      </c>
      <c r="G147" s="186" t="s">
        <v>94</v>
      </c>
      <c r="H147" s="184" t="s">
        <v>182</v>
      </c>
    </row>
    <row r="148" spans="1:20">
      <c r="A148" s="182">
        <v>45043</v>
      </c>
      <c r="B148" s="183">
        <v>0.55454861111111109</v>
      </c>
      <c r="C148" s="184" t="s">
        <v>67</v>
      </c>
      <c r="D148" s="184" t="s">
        <v>68</v>
      </c>
      <c r="E148" s="184" t="s">
        <v>19</v>
      </c>
      <c r="F148" s="182">
        <v>45099</v>
      </c>
      <c r="G148" s="186" t="s">
        <v>114</v>
      </c>
      <c r="H148" s="184" t="s">
        <v>182</v>
      </c>
      <c r="T148" s="184" t="s">
        <v>411</v>
      </c>
    </row>
    <row r="149" spans="1:20">
      <c r="A149" s="182">
        <v>45043</v>
      </c>
      <c r="B149" s="183">
        <v>0.5664583333333334</v>
      </c>
      <c r="C149" s="184" t="s">
        <v>67</v>
      </c>
      <c r="D149" s="184" t="s">
        <v>91</v>
      </c>
      <c r="E149" s="184" t="s">
        <v>19</v>
      </c>
      <c r="F149" s="182">
        <v>45099</v>
      </c>
      <c r="G149" s="186" t="s">
        <v>94</v>
      </c>
      <c r="H149" s="184" t="s">
        <v>120</v>
      </c>
    </row>
    <row r="150" spans="1:20">
      <c r="A150" s="182">
        <v>45043</v>
      </c>
      <c r="B150" s="183">
        <v>0.57152777777777775</v>
      </c>
      <c r="C150" s="184" t="s">
        <v>67</v>
      </c>
      <c r="D150" s="184" t="s">
        <v>91</v>
      </c>
      <c r="E150" s="184" t="s">
        <v>96</v>
      </c>
      <c r="F150" s="182">
        <v>45080</v>
      </c>
      <c r="G150" s="186" t="s">
        <v>112</v>
      </c>
      <c r="H150" s="184" t="s">
        <v>337</v>
      </c>
    </row>
    <row r="151" spans="1:20">
      <c r="A151" s="182">
        <v>45043</v>
      </c>
      <c r="B151" s="183">
        <v>0.57171296296296303</v>
      </c>
      <c r="C151" s="184" t="s">
        <v>67</v>
      </c>
      <c r="D151" s="184" t="s">
        <v>91</v>
      </c>
      <c r="E151" s="184" t="s">
        <v>96</v>
      </c>
      <c r="F151" s="182">
        <v>45118</v>
      </c>
      <c r="G151" s="186" t="s">
        <v>75</v>
      </c>
      <c r="H151" s="184" t="s">
        <v>92</v>
      </c>
    </row>
    <row r="152" spans="1:20">
      <c r="A152" s="182">
        <v>45044</v>
      </c>
      <c r="B152" s="183">
        <v>0.54134259259259265</v>
      </c>
      <c r="C152" s="184" t="s">
        <v>67</v>
      </c>
      <c r="D152" s="184" t="s">
        <v>78</v>
      </c>
      <c r="E152" s="184" t="s">
        <v>124</v>
      </c>
      <c r="F152" s="182">
        <v>45128</v>
      </c>
      <c r="G152" s="186" t="s">
        <v>94</v>
      </c>
      <c r="H152" s="184" t="s">
        <v>288</v>
      </c>
    </row>
    <row r="153" spans="1:20">
      <c r="A153" s="182">
        <v>45044</v>
      </c>
      <c r="B153" s="183">
        <v>0.58738425925925919</v>
      </c>
      <c r="C153" s="184" t="s">
        <v>73</v>
      </c>
      <c r="D153" s="184" t="s">
        <v>68</v>
      </c>
      <c r="E153" s="184" t="s">
        <v>96</v>
      </c>
      <c r="F153" s="182">
        <v>45118</v>
      </c>
      <c r="G153" s="186" t="s">
        <v>94</v>
      </c>
      <c r="H153" s="184" t="s">
        <v>273</v>
      </c>
      <c r="T153" s="184" t="s">
        <v>587</v>
      </c>
    </row>
    <row r="154" spans="1:20">
      <c r="A154" s="182">
        <v>45044</v>
      </c>
      <c r="B154" s="183">
        <v>0.6150578703703703</v>
      </c>
      <c r="C154" s="184" t="s">
        <v>67</v>
      </c>
      <c r="D154" s="184" t="s">
        <v>91</v>
      </c>
      <c r="E154" s="184" t="s">
        <v>96</v>
      </c>
      <c r="F154" s="182">
        <v>45080</v>
      </c>
      <c r="G154" s="186" t="s">
        <v>114</v>
      </c>
      <c r="H154" s="184" t="s">
        <v>296</v>
      </c>
    </row>
    <row r="155" spans="1:20">
      <c r="A155" s="182">
        <v>45047</v>
      </c>
      <c r="B155" s="183">
        <v>0.41967592592592595</v>
      </c>
      <c r="C155" s="184" t="s">
        <v>73</v>
      </c>
      <c r="D155" s="184" t="s">
        <v>68</v>
      </c>
      <c r="E155" s="184" t="s">
        <v>85</v>
      </c>
      <c r="F155" s="182">
        <v>45065</v>
      </c>
      <c r="G155" s="186" t="s">
        <v>94</v>
      </c>
      <c r="H155" s="184" t="s">
        <v>273</v>
      </c>
      <c r="T155" s="184" t="s">
        <v>822</v>
      </c>
    </row>
    <row r="156" spans="1:20">
      <c r="A156" s="182">
        <v>45047</v>
      </c>
      <c r="B156" s="183">
        <v>0.5841319444444445</v>
      </c>
      <c r="C156" s="184" t="s">
        <v>73</v>
      </c>
      <c r="D156" s="184" t="s">
        <v>68</v>
      </c>
      <c r="E156" s="184" t="s">
        <v>85</v>
      </c>
      <c r="F156" s="182">
        <v>45065</v>
      </c>
      <c r="G156" s="186" t="s">
        <v>114</v>
      </c>
      <c r="H156" s="184" t="s">
        <v>260</v>
      </c>
      <c r="T156" s="184" t="s">
        <v>1056</v>
      </c>
    </row>
    <row r="157" spans="1:20">
      <c r="A157" s="182">
        <v>45048</v>
      </c>
      <c r="B157" s="183">
        <v>0.38530092592592591</v>
      </c>
      <c r="C157" s="184" t="s">
        <v>73</v>
      </c>
      <c r="D157" s="184" t="s">
        <v>68</v>
      </c>
      <c r="E157" s="184" t="s">
        <v>19</v>
      </c>
      <c r="F157" s="182">
        <v>45099</v>
      </c>
      <c r="G157" s="186" t="s">
        <v>94</v>
      </c>
      <c r="H157" s="184" t="s">
        <v>117</v>
      </c>
      <c r="T157" s="184" t="s">
        <v>411</v>
      </c>
    </row>
    <row r="158" spans="1:20">
      <c r="A158" s="182">
        <v>45048</v>
      </c>
      <c r="B158" s="183">
        <v>0.38605324074074071</v>
      </c>
      <c r="C158" s="184" t="s">
        <v>73</v>
      </c>
      <c r="D158" s="184" t="s">
        <v>68</v>
      </c>
      <c r="E158" s="184" t="s">
        <v>45</v>
      </c>
      <c r="F158" s="182">
        <v>45114</v>
      </c>
      <c r="G158" s="186" t="s">
        <v>112</v>
      </c>
      <c r="H158" s="184" t="s">
        <v>261</v>
      </c>
      <c r="T158" s="184" t="s">
        <v>411</v>
      </c>
    </row>
    <row r="159" spans="1:20">
      <c r="A159" s="182">
        <v>45048</v>
      </c>
      <c r="B159" s="183">
        <v>0.38716435185185188</v>
      </c>
      <c r="C159" s="184" t="s">
        <v>73</v>
      </c>
      <c r="D159" s="184" t="s">
        <v>68</v>
      </c>
      <c r="E159" s="184" t="s">
        <v>96</v>
      </c>
      <c r="F159" s="182">
        <v>45118</v>
      </c>
      <c r="G159" s="186" t="s">
        <v>94</v>
      </c>
      <c r="H159" s="184" t="s">
        <v>261</v>
      </c>
      <c r="T159" s="184" t="s">
        <v>411</v>
      </c>
    </row>
    <row r="160" spans="1:20">
      <c r="A160" s="182">
        <v>45048</v>
      </c>
      <c r="B160" s="183">
        <v>0.38768518518518519</v>
      </c>
      <c r="C160" s="184" t="s">
        <v>73</v>
      </c>
      <c r="D160" s="184" t="s">
        <v>68</v>
      </c>
      <c r="E160" s="184" t="s">
        <v>124</v>
      </c>
      <c r="F160" s="182">
        <v>45128</v>
      </c>
      <c r="G160" s="186" t="s">
        <v>94</v>
      </c>
      <c r="H160" s="184" t="s">
        <v>182</v>
      </c>
      <c r="T160" s="184" t="s">
        <v>411</v>
      </c>
    </row>
    <row r="161" spans="1:20">
      <c r="A161" s="182">
        <v>45048</v>
      </c>
      <c r="B161" s="183">
        <v>0.45542824074074079</v>
      </c>
      <c r="C161" s="184" t="s">
        <v>73</v>
      </c>
      <c r="D161" s="184" t="s">
        <v>91</v>
      </c>
      <c r="E161" s="184" t="s">
        <v>96</v>
      </c>
      <c r="F161" s="182">
        <v>45080</v>
      </c>
      <c r="G161" s="186" t="s">
        <v>112</v>
      </c>
      <c r="H161" s="184" t="s">
        <v>326</v>
      </c>
    </row>
    <row r="162" spans="1:20">
      <c r="A162" s="182">
        <v>45054</v>
      </c>
      <c r="B162" s="183">
        <v>0.4707986111111111</v>
      </c>
      <c r="C162" s="184" t="s">
        <v>73</v>
      </c>
      <c r="D162" s="184" t="s">
        <v>159</v>
      </c>
      <c r="E162" s="184" t="s">
        <v>19</v>
      </c>
      <c r="F162" s="182">
        <v>45099</v>
      </c>
      <c r="G162" s="186" t="s">
        <v>94</v>
      </c>
      <c r="H162" s="184" t="s">
        <v>228</v>
      </c>
      <c r="I162" s="184" t="s">
        <v>964</v>
      </c>
    </row>
    <row r="163" spans="1:20">
      <c r="A163" s="182">
        <v>45054</v>
      </c>
      <c r="B163" s="183">
        <v>0.47115740740740741</v>
      </c>
      <c r="C163" s="184" t="s">
        <v>73</v>
      </c>
      <c r="D163" s="184" t="s">
        <v>159</v>
      </c>
      <c r="E163" s="184" t="s">
        <v>96</v>
      </c>
      <c r="F163" s="182">
        <v>45118</v>
      </c>
      <c r="G163" s="186" t="s">
        <v>94</v>
      </c>
      <c r="H163" s="184" t="s">
        <v>215</v>
      </c>
      <c r="I163" s="184" t="s">
        <v>964</v>
      </c>
    </row>
    <row r="164" spans="1:20">
      <c r="A164" s="182">
        <v>45054</v>
      </c>
      <c r="B164" s="183">
        <v>0.57754629629629628</v>
      </c>
      <c r="C164" s="184" t="s">
        <v>67</v>
      </c>
      <c r="D164" s="184" t="s">
        <v>68</v>
      </c>
      <c r="E164" s="184" t="s">
        <v>96</v>
      </c>
      <c r="F164" s="182">
        <v>45118</v>
      </c>
      <c r="G164" s="186" t="s">
        <v>114</v>
      </c>
      <c r="H164" s="184" t="s">
        <v>256</v>
      </c>
      <c r="T164" s="184" t="s">
        <v>234</v>
      </c>
    </row>
    <row r="165" spans="1:20">
      <c r="A165" s="182">
        <v>45054</v>
      </c>
      <c r="B165" s="183">
        <v>0.57807870370370373</v>
      </c>
      <c r="C165" s="184" t="s">
        <v>67</v>
      </c>
      <c r="D165" s="184" t="s">
        <v>68</v>
      </c>
      <c r="E165" s="184" t="s">
        <v>45</v>
      </c>
      <c r="F165" s="182">
        <v>45114</v>
      </c>
      <c r="G165" s="186" t="s">
        <v>94</v>
      </c>
      <c r="H165" s="184" t="s">
        <v>260</v>
      </c>
      <c r="T165" s="184" t="s">
        <v>234</v>
      </c>
    </row>
    <row r="166" spans="1:20">
      <c r="A166" s="182">
        <v>45054</v>
      </c>
      <c r="B166" s="183">
        <v>0.61393518518518519</v>
      </c>
      <c r="C166" s="184" t="s">
        <v>67</v>
      </c>
      <c r="D166" s="184" t="s">
        <v>68</v>
      </c>
      <c r="E166" s="184" t="s">
        <v>96</v>
      </c>
      <c r="F166" s="182">
        <v>45118</v>
      </c>
      <c r="G166" s="186" t="s">
        <v>94</v>
      </c>
      <c r="H166" s="184" t="s">
        <v>305</v>
      </c>
      <c r="T166" s="184" t="s">
        <v>1057</v>
      </c>
    </row>
    <row r="167" spans="1:20">
      <c r="A167" s="182">
        <v>45054</v>
      </c>
      <c r="B167" s="183">
        <v>0.64718750000000003</v>
      </c>
      <c r="C167" s="184" t="s">
        <v>73</v>
      </c>
      <c r="D167" s="184" t="s">
        <v>68</v>
      </c>
      <c r="E167" s="184" t="s">
        <v>85</v>
      </c>
      <c r="F167" s="182">
        <v>45065</v>
      </c>
      <c r="G167" s="186" t="s">
        <v>94</v>
      </c>
      <c r="H167" s="184" t="s">
        <v>256</v>
      </c>
      <c r="T167" s="184" t="s">
        <v>1058</v>
      </c>
    </row>
    <row r="168" spans="1:20">
      <c r="A168" s="182">
        <v>45055</v>
      </c>
      <c r="B168" s="183">
        <v>0.4400810185185185</v>
      </c>
      <c r="C168" s="184" t="s">
        <v>73</v>
      </c>
      <c r="D168" s="184" t="s">
        <v>68</v>
      </c>
      <c r="E168" s="184" t="s">
        <v>96</v>
      </c>
      <c r="F168" s="182">
        <v>45118</v>
      </c>
      <c r="G168" s="186" t="s">
        <v>114</v>
      </c>
      <c r="H168" s="184" t="s">
        <v>185</v>
      </c>
      <c r="T168" s="184" t="s">
        <v>1000</v>
      </c>
    </row>
    <row r="169" spans="1:20">
      <c r="A169" s="182">
        <v>45055</v>
      </c>
      <c r="B169" s="183">
        <v>0.50612268518518522</v>
      </c>
      <c r="C169" s="184" t="s">
        <v>73</v>
      </c>
      <c r="D169" s="184" t="s">
        <v>78</v>
      </c>
      <c r="E169" s="184" t="s">
        <v>96</v>
      </c>
      <c r="F169" s="182">
        <v>45118</v>
      </c>
      <c r="G169" s="186" t="s">
        <v>94</v>
      </c>
      <c r="H169" s="184" t="s">
        <v>106</v>
      </c>
    </row>
    <row r="170" spans="1:20">
      <c r="A170" s="182">
        <v>45055</v>
      </c>
      <c r="B170" s="183">
        <v>0.50637731481481485</v>
      </c>
      <c r="C170" s="184" t="s">
        <v>73</v>
      </c>
      <c r="D170" s="184" t="s">
        <v>78</v>
      </c>
      <c r="E170" s="184" t="s">
        <v>124</v>
      </c>
      <c r="F170" s="182">
        <v>45128</v>
      </c>
      <c r="G170" s="186" t="s">
        <v>94</v>
      </c>
      <c r="H170" s="184" t="s">
        <v>267</v>
      </c>
    </row>
    <row r="171" spans="1:20">
      <c r="A171" s="182">
        <v>45055</v>
      </c>
      <c r="B171" s="183">
        <v>0.50666666666666671</v>
      </c>
      <c r="C171" s="184" t="s">
        <v>73</v>
      </c>
      <c r="D171" s="184" t="s">
        <v>78</v>
      </c>
      <c r="E171" s="184" t="s">
        <v>124</v>
      </c>
      <c r="F171" s="182">
        <v>45252</v>
      </c>
      <c r="G171" s="186" t="s">
        <v>70</v>
      </c>
      <c r="H171" s="184" t="s">
        <v>86</v>
      </c>
    </row>
    <row r="172" spans="1:20">
      <c r="A172" s="182">
        <v>45055</v>
      </c>
      <c r="B172" s="183">
        <v>0.67741898148148139</v>
      </c>
      <c r="C172" s="184" t="s">
        <v>73</v>
      </c>
      <c r="D172" s="184" t="s">
        <v>68</v>
      </c>
      <c r="E172" s="184" t="s">
        <v>85</v>
      </c>
      <c r="F172" s="182">
        <v>45133</v>
      </c>
      <c r="G172" s="186" t="s">
        <v>70</v>
      </c>
      <c r="H172" s="184" t="s">
        <v>71</v>
      </c>
      <c r="T172" s="184" t="s">
        <v>1059</v>
      </c>
    </row>
    <row r="173" spans="1:20">
      <c r="A173" s="182">
        <v>45055</v>
      </c>
      <c r="B173" s="183">
        <v>0.69754629629629628</v>
      </c>
      <c r="C173" s="184" t="s">
        <v>73</v>
      </c>
      <c r="D173" s="184" t="s">
        <v>78</v>
      </c>
      <c r="E173" s="184" t="s">
        <v>89</v>
      </c>
      <c r="F173" s="182">
        <v>45121</v>
      </c>
      <c r="G173" s="186" t="s">
        <v>94</v>
      </c>
      <c r="H173" s="184" t="s">
        <v>265</v>
      </c>
    </row>
    <row r="174" spans="1:20">
      <c r="A174" s="182">
        <v>45056</v>
      </c>
      <c r="B174" s="183">
        <v>0.40567129629629628</v>
      </c>
      <c r="C174" s="184" t="s">
        <v>67</v>
      </c>
      <c r="D174" s="184" t="s">
        <v>91</v>
      </c>
      <c r="E174" s="184" t="s">
        <v>96</v>
      </c>
      <c r="F174" s="182">
        <v>45080</v>
      </c>
      <c r="G174" s="186" t="s">
        <v>94</v>
      </c>
      <c r="H174" s="184" t="s">
        <v>335</v>
      </c>
    </row>
    <row r="175" spans="1:20">
      <c r="A175" s="182">
        <v>45056</v>
      </c>
      <c r="B175" s="183">
        <v>0.63098379629629631</v>
      </c>
      <c r="C175" s="184" t="s">
        <v>67</v>
      </c>
      <c r="D175" s="184" t="s">
        <v>68</v>
      </c>
      <c r="E175" s="184" t="s">
        <v>1060</v>
      </c>
      <c r="F175" s="182">
        <v>45230</v>
      </c>
      <c r="G175" s="186" t="s">
        <v>75</v>
      </c>
      <c r="H175" s="184" t="s">
        <v>76</v>
      </c>
      <c r="T175" s="184" t="s">
        <v>161</v>
      </c>
    </row>
    <row r="176" spans="1:20">
      <c r="A176" s="182">
        <v>45056</v>
      </c>
      <c r="B176" s="183">
        <v>0.66629629629629628</v>
      </c>
      <c r="C176" s="184" t="s">
        <v>67</v>
      </c>
      <c r="D176" s="184" t="s">
        <v>91</v>
      </c>
      <c r="E176" s="184" t="s">
        <v>96</v>
      </c>
      <c r="F176" s="182">
        <v>45080</v>
      </c>
      <c r="G176" s="186" t="s">
        <v>94</v>
      </c>
      <c r="H176" s="184" t="s">
        <v>1061</v>
      </c>
    </row>
    <row r="177" spans="1:20">
      <c r="A177" s="182">
        <v>45057</v>
      </c>
      <c r="B177" s="183">
        <v>0.39773148148148146</v>
      </c>
      <c r="C177" s="184" t="s">
        <v>67</v>
      </c>
      <c r="D177" s="184" t="s">
        <v>68</v>
      </c>
      <c r="E177" s="184" t="s">
        <v>45</v>
      </c>
      <c r="F177" s="182">
        <v>45114</v>
      </c>
      <c r="G177" s="186" t="s">
        <v>94</v>
      </c>
      <c r="H177" s="184" t="s">
        <v>256</v>
      </c>
      <c r="T177" s="184" t="s">
        <v>234</v>
      </c>
    </row>
    <row r="178" spans="1:20">
      <c r="A178" s="182">
        <v>45057</v>
      </c>
      <c r="B178" s="183">
        <v>0.54663194444444441</v>
      </c>
      <c r="C178" s="184" t="s">
        <v>67</v>
      </c>
      <c r="D178" s="184" t="s">
        <v>91</v>
      </c>
      <c r="E178" s="184" t="s">
        <v>69</v>
      </c>
      <c r="F178" s="182">
        <v>45114</v>
      </c>
      <c r="G178" s="186" t="s">
        <v>114</v>
      </c>
      <c r="H178" s="184" t="s">
        <v>285</v>
      </c>
    </row>
    <row r="179" spans="1:20">
      <c r="A179" s="182">
        <v>45057</v>
      </c>
      <c r="B179" s="183">
        <v>0.55733796296296301</v>
      </c>
      <c r="C179" s="184" t="s">
        <v>67</v>
      </c>
      <c r="D179" s="184" t="s">
        <v>68</v>
      </c>
      <c r="E179" s="184" t="s">
        <v>96</v>
      </c>
      <c r="F179" s="182">
        <v>45118</v>
      </c>
      <c r="G179" s="186" t="s">
        <v>94</v>
      </c>
      <c r="H179" s="184" t="s">
        <v>308</v>
      </c>
      <c r="T179" s="184" t="s">
        <v>735</v>
      </c>
    </row>
    <row r="180" spans="1:20">
      <c r="A180" s="182">
        <v>45058</v>
      </c>
      <c r="B180" s="183">
        <v>0.44938657407407406</v>
      </c>
      <c r="C180" s="184" t="s">
        <v>73</v>
      </c>
      <c r="D180" s="184" t="s">
        <v>68</v>
      </c>
      <c r="E180" s="184" t="s">
        <v>96</v>
      </c>
      <c r="F180" s="182">
        <v>45118</v>
      </c>
      <c r="G180" s="186" t="s">
        <v>112</v>
      </c>
      <c r="H180" s="184" t="s">
        <v>209</v>
      </c>
      <c r="T180" s="184" t="s">
        <v>567</v>
      </c>
    </row>
    <row r="181" spans="1:20">
      <c r="A181" s="182">
        <v>45058</v>
      </c>
      <c r="B181" s="183">
        <v>0.58020833333333333</v>
      </c>
      <c r="C181" s="184" t="s">
        <v>73</v>
      </c>
      <c r="D181" s="184" t="s">
        <v>68</v>
      </c>
      <c r="E181" s="184" t="s">
        <v>19</v>
      </c>
      <c r="F181" s="182">
        <v>45099</v>
      </c>
      <c r="G181" s="186" t="s">
        <v>112</v>
      </c>
      <c r="H181" s="184" t="s">
        <v>261</v>
      </c>
      <c r="T181" s="184" t="s">
        <v>289</v>
      </c>
    </row>
    <row r="182" spans="1:20">
      <c r="A182" s="182">
        <v>45058</v>
      </c>
      <c r="B182" s="183">
        <v>0.59231481481481485</v>
      </c>
      <c r="C182" s="184" t="s">
        <v>73</v>
      </c>
      <c r="D182" s="184" t="s">
        <v>68</v>
      </c>
      <c r="E182" s="184" t="s">
        <v>124</v>
      </c>
      <c r="F182" s="182">
        <v>45128</v>
      </c>
      <c r="G182" s="186" t="s">
        <v>94</v>
      </c>
      <c r="H182" s="184" t="s">
        <v>117</v>
      </c>
      <c r="T182" s="184" t="s">
        <v>302</v>
      </c>
    </row>
    <row r="183" spans="1:20">
      <c r="A183" s="182">
        <v>45058</v>
      </c>
      <c r="B183" s="183">
        <v>0.60182870370370367</v>
      </c>
      <c r="C183" s="184" t="s">
        <v>73</v>
      </c>
      <c r="D183" s="184" t="s">
        <v>68</v>
      </c>
      <c r="E183" s="184" t="s">
        <v>96</v>
      </c>
      <c r="F183" s="182">
        <v>45118</v>
      </c>
      <c r="G183" s="186" t="s">
        <v>114</v>
      </c>
      <c r="H183" s="184" t="s">
        <v>213</v>
      </c>
      <c r="T183" s="184" t="s">
        <v>1062</v>
      </c>
    </row>
    <row r="184" spans="1:20">
      <c r="A184" s="182">
        <v>45058</v>
      </c>
      <c r="B184" s="183">
        <v>0.60547453703703702</v>
      </c>
      <c r="C184" s="184" t="s">
        <v>73</v>
      </c>
      <c r="D184" s="184" t="s">
        <v>68</v>
      </c>
      <c r="E184" s="184" t="s">
        <v>96</v>
      </c>
      <c r="F184" s="182">
        <v>45118</v>
      </c>
      <c r="G184" s="186" t="s">
        <v>94</v>
      </c>
      <c r="H184" s="184" t="s">
        <v>225</v>
      </c>
      <c r="T184" s="184" t="s">
        <v>375</v>
      </c>
    </row>
    <row r="185" spans="1:20">
      <c r="A185" s="182">
        <v>45058</v>
      </c>
      <c r="B185" s="183">
        <v>0.60723379629629626</v>
      </c>
      <c r="C185" s="184" t="s">
        <v>73</v>
      </c>
      <c r="D185" s="184" t="s">
        <v>68</v>
      </c>
      <c r="E185" s="184" t="s">
        <v>85</v>
      </c>
      <c r="F185" s="182">
        <v>45133</v>
      </c>
      <c r="G185" s="186" t="s">
        <v>94</v>
      </c>
      <c r="H185" s="184" t="s">
        <v>76</v>
      </c>
      <c r="T185" s="184" t="s">
        <v>302</v>
      </c>
    </row>
    <row r="186" spans="1:20">
      <c r="A186" s="182">
        <v>45058</v>
      </c>
      <c r="B186" s="183">
        <v>0.65834490740740736</v>
      </c>
      <c r="C186" s="184" t="s">
        <v>73</v>
      </c>
      <c r="D186" s="184" t="s">
        <v>68</v>
      </c>
      <c r="E186" s="184" t="s">
        <v>1060</v>
      </c>
      <c r="F186" s="182">
        <v>45230</v>
      </c>
      <c r="G186" s="186" t="s">
        <v>114</v>
      </c>
      <c r="H186" s="184" t="s">
        <v>101</v>
      </c>
      <c r="T186" s="184" t="s">
        <v>1063</v>
      </c>
    </row>
    <row r="187" spans="1:20">
      <c r="A187" s="182">
        <v>45058</v>
      </c>
      <c r="B187" s="183">
        <v>0.7058564814814815</v>
      </c>
      <c r="C187" s="184" t="s">
        <v>73</v>
      </c>
      <c r="D187" s="184" t="s">
        <v>91</v>
      </c>
      <c r="E187" s="184" t="s">
        <v>96</v>
      </c>
      <c r="F187" s="182">
        <v>45080</v>
      </c>
      <c r="G187" s="186" t="s">
        <v>70</v>
      </c>
      <c r="H187" s="184" t="s">
        <v>1064</v>
      </c>
    </row>
    <row r="188" spans="1:20">
      <c r="A188" s="182">
        <v>45062</v>
      </c>
      <c r="B188" s="183">
        <v>0.38737268518518514</v>
      </c>
      <c r="C188" s="184" t="s">
        <v>73</v>
      </c>
      <c r="D188" s="184" t="s">
        <v>68</v>
      </c>
      <c r="E188" s="184" t="s">
        <v>1060</v>
      </c>
      <c r="F188" s="182">
        <v>45230</v>
      </c>
      <c r="G188" s="186" t="s">
        <v>94</v>
      </c>
      <c r="H188" s="184" t="s">
        <v>103</v>
      </c>
      <c r="T188" s="184" t="s">
        <v>824</v>
      </c>
    </row>
    <row r="189" spans="1:20">
      <c r="A189" s="182">
        <v>45062</v>
      </c>
      <c r="B189" s="183">
        <v>0.51918981481481474</v>
      </c>
      <c r="C189" s="184" t="s">
        <v>73</v>
      </c>
      <c r="D189" s="184" t="s">
        <v>91</v>
      </c>
      <c r="E189" s="184" t="s">
        <v>96</v>
      </c>
      <c r="F189" s="182">
        <v>45080</v>
      </c>
      <c r="G189" s="186" t="s">
        <v>94</v>
      </c>
      <c r="H189" s="184" t="s">
        <v>1065</v>
      </c>
    </row>
    <row r="190" spans="1:20">
      <c r="A190" s="182">
        <v>45063</v>
      </c>
      <c r="B190" s="183">
        <v>0.53765046296296293</v>
      </c>
      <c r="C190" s="184" t="s">
        <v>73</v>
      </c>
      <c r="D190" s="184" t="s">
        <v>91</v>
      </c>
      <c r="E190" s="184" t="s">
        <v>96</v>
      </c>
      <c r="F190" s="182">
        <v>45080</v>
      </c>
      <c r="G190" s="186" t="s">
        <v>94</v>
      </c>
      <c r="H190" s="184" t="s">
        <v>718</v>
      </c>
    </row>
    <row r="191" spans="1:20">
      <c r="A191" s="182">
        <v>45063</v>
      </c>
      <c r="B191" s="183">
        <v>0.53832175925925929</v>
      </c>
      <c r="C191" s="184" t="s">
        <v>73</v>
      </c>
      <c r="D191" s="184" t="s">
        <v>78</v>
      </c>
      <c r="E191" s="184" t="s">
        <v>19</v>
      </c>
      <c r="F191" s="182">
        <v>45099</v>
      </c>
      <c r="G191" s="186" t="s">
        <v>94</v>
      </c>
      <c r="H191" s="184" t="s">
        <v>113</v>
      </c>
    </row>
    <row r="192" spans="1:20">
      <c r="A192" s="182">
        <v>45063</v>
      </c>
      <c r="B192" s="183">
        <v>0.53895833333333332</v>
      </c>
      <c r="C192" s="184" t="s">
        <v>73</v>
      </c>
      <c r="D192" s="184" t="s">
        <v>78</v>
      </c>
      <c r="E192" s="184" t="s">
        <v>69</v>
      </c>
      <c r="F192" s="182">
        <v>45114</v>
      </c>
      <c r="G192" s="186" t="s">
        <v>94</v>
      </c>
      <c r="H192" s="184" t="s">
        <v>106</v>
      </c>
    </row>
    <row r="193" spans="1:20">
      <c r="A193" s="182">
        <v>45063</v>
      </c>
      <c r="B193" s="183">
        <v>0.61281249999999998</v>
      </c>
      <c r="C193" s="184" t="s">
        <v>73</v>
      </c>
      <c r="D193" s="184" t="s">
        <v>68</v>
      </c>
      <c r="E193" s="184" t="s">
        <v>96</v>
      </c>
      <c r="F193" s="182">
        <v>45118</v>
      </c>
      <c r="G193" s="186" t="s">
        <v>94</v>
      </c>
      <c r="H193" s="184" t="s">
        <v>231</v>
      </c>
      <c r="T193" s="184" t="s">
        <v>1066</v>
      </c>
    </row>
    <row r="194" spans="1:20">
      <c r="A194" s="182">
        <v>45063</v>
      </c>
      <c r="B194" s="183">
        <v>0.61393518518518519</v>
      </c>
      <c r="C194" s="184" t="s">
        <v>73</v>
      </c>
      <c r="D194" s="184" t="s">
        <v>68</v>
      </c>
      <c r="E194" s="184" t="s">
        <v>124</v>
      </c>
      <c r="F194" s="182">
        <v>45128</v>
      </c>
      <c r="G194" s="186" t="s">
        <v>94</v>
      </c>
      <c r="H194" s="184" t="s">
        <v>259</v>
      </c>
      <c r="T194" s="184" t="s">
        <v>1066</v>
      </c>
    </row>
    <row r="195" spans="1:20">
      <c r="A195" s="182">
        <v>45063</v>
      </c>
      <c r="B195" s="183">
        <v>0.65106481481481482</v>
      </c>
      <c r="C195" s="184" t="s">
        <v>73</v>
      </c>
      <c r="D195" s="184" t="s">
        <v>78</v>
      </c>
      <c r="E195" s="184" t="s">
        <v>1060</v>
      </c>
      <c r="F195" s="182">
        <v>45230</v>
      </c>
      <c r="G195" s="186" t="s">
        <v>75</v>
      </c>
      <c r="H195" s="184" t="s">
        <v>107</v>
      </c>
    </row>
    <row r="196" spans="1:20">
      <c r="A196" s="182">
        <v>45064</v>
      </c>
      <c r="B196" s="183">
        <v>0.42155092592592597</v>
      </c>
      <c r="C196" s="184" t="s">
        <v>67</v>
      </c>
      <c r="D196" s="184" t="s">
        <v>68</v>
      </c>
      <c r="E196" s="184" t="s">
        <v>124</v>
      </c>
      <c r="F196" s="182">
        <v>45252</v>
      </c>
      <c r="G196" s="186" t="s">
        <v>70</v>
      </c>
      <c r="H196" s="184" t="s">
        <v>71</v>
      </c>
      <c r="T196" s="184" t="s">
        <v>1067</v>
      </c>
    </row>
    <row r="197" spans="1:20">
      <c r="A197" s="182">
        <v>45064</v>
      </c>
      <c r="B197" s="183">
        <v>0.42383101851851851</v>
      </c>
      <c r="C197" s="184" t="s">
        <v>67</v>
      </c>
      <c r="D197" s="184" t="s">
        <v>91</v>
      </c>
      <c r="E197" s="184" t="s">
        <v>96</v>
      </c>
      <c r="F197" s="182">
        <v>45080</v>
      </c>
      <c r="G197" s="186" t="s">
        <v>70</v>
      </c>
      <c r="H197" s="184" t="s">
        <v>745</v>
      </c>
    </row>
    <row r="198" spans="1:20">
      <c r="A198" s="182">
        <v>45064</v>
      </c>
      <c r="B198" s="183">
        <v>0.42410879629629633</v>
      </c>
      <c r="C198" s="184" t="s">
        <v>67</v>
      </c>
      <c r="D198" s="184" t="s">
        <v>91</v>
      </c>
      <c r="E198" s="184" t="s">
        <v>96</v>
      </c>
      <c r="F198" s="182">
        <v>45080</v>
      </c>
      <c r="G198" s="186" t="s">
        <v>114</v>
      </c>
      <c r="H198" s="184" t="s">
        <v>752</v>
      </c>
    </row>
    <row r="199" spans="1:20">
      <c r="A199" s="182">
        <v>45064</v>
      </c>
      <c r="B199" s="183">
        <v>0.42424768518518513</v>
      </c>
      <c r="C199" s="184" t="s">
        <v>67</v>
      </c>
      <c r="D199" s="184" t="s">
        <v>91</v>
      </c>
      <c r="E199" s="184" t="s">
        <v>96</v>
      </c>
      <c r="F199" s="182">
        <v>45080</v>
      </c>
      <c r="G199" s="186" t="s">
        <v>99</v>
      </c>
      <c r="H199" s="184" t="s">
        <v>803</v>
      </c>
    </row>
    <row r="200" spans="1:20">
      <c r="A200" s="182">
        <v>45064</v>
      </c>
      <c r="B200" s="183">
        <v>0.44290509259259259</v>
      </c>
      <c r="C200" s="184" t="s">
        <v>67</v>
      </c>
      <c r="D200" s="184" t="s">
        <v>68</v>
      </c>
      <c r="E200" s="184" t="s">
        <v>19</v>
      </c>
      <c r="F200" s="182">
        <v>45099</v>
      </c>
      <c r="G200" s="186" t="s">
        <v>94</v>
      </c>
      <c r="H200" s="184" t="s">
        <v>260</v>
      </c>
      <c r="T200" s="184" t="s">
        <v>1068</v>
      </c>
    </row>
    <row r="201" spans="1:20">
      <c r="A201" s="182">
        <v>45064</v>
      </c>
      <c r="B201" s="183">
        <v>0.44894675925925925</v>
      </c>
      <c r="C201" s="184" t="s">
        <v>67</v>
      </c>
      <c r="D201" s="184" t="s">
        <v>68</v>
      </c>
      <c r="E201" s="184" t="s">
        <v>96</v>
      </c>
      <c r="F201" s="182">
        <v>45080</v>
      </c>
      <c r="G201" s="186" t="s">
        <v>115</v>
      </c>
      <c r="H201" s="184" t="s">
        <v>101</v>
      </c>
      <c r="T201" s="184" t="s">
        <v>1053</v>
      </c>
    </row>
    <row r="202" spans="1:20">
      <c r="A202" s="182">
        <v>45064</v>
      </c>
      <c r="B202" s="183">
        <v>0.45112268518518522</v>
      </c>
      <c r="C202" s="184" t="s">
        <v>67</v>
      </c>
      <c r="D202" s="184" t="s">
        <v>68</v>
      </c>
      <c r="E202" s="184" t="s">
        <v>96</v>
      </c>
      <c r="F202" s="182">
        <v>45080</v>
      </c>
      <c r="G202" s="186" t="s">
        <v>99</v>
      </c>
      <c r="H202" s="184" t="s">
        <v>87</v>
      </c>
      <c r="T202" s="184" t="s">
        <v>1069</v>
      </c>
    </row>
    <row r="203" spans="1:20">
      <c r="A203" s="182">
        <v>45065</v>
      </c>
      <c r="B203" s="183">
        <v>0.4562268518518518</v>
      </c>
      <c r="C203" s="184" t="s">
        <v>73</v>
      </c>
      <c r="D203" s="184" t="s">
        <v>68</v>
      </c>
      <c r="E203" s="184" t="s">
        <v>45</v>
      </c>
      <c r="F203" s="182">
        <v>45114</v>
      </c>
      <c r="G203" s="186" t="s">
        <v>99</v>
      </c>
      <c r="H203" s="184" t="s">
        <v>260</v>
      </c>
      <c r="T203" s="184" t="s">
        <v>234</v>
      </c>
    </row>
    <row r="204" spans="1:20">
      <c r="A204" s="182">
        <v>45065</v>
      </c>
      <c r="B204" s="183">
        <v>0.48015046296296293</v>
      </c>
      <c r="C204" s="184" t="s">
        <v>73</v>
      </c>
      <c r="D204" s="184" t="s">
        <v>78</v>
      </c>
      <c r="E204" s="184" t="s">
        <v>19</v>
      </c>
      <c r="F204" s="182">
        <v>45099</v>
      </c>
      <c r="G204" s="186" t="s">
        <v>83</v>
      </c>
      <c r="H204" s="184" t="s">
        <v>327</v>
      </c>
    </row>
    <row r="205" spans="1:20">
      <c r="A205" s="182">
        <v>45065</v>
      </c>
      <c r="B205" s="183">
        <v>0.48258101851851848</v>
      </c>
      <c r="C205" s="184" t="s">
        <v>73</v>
      </c>
      <c r="D205" s="184" t="s">
        <v>91</v>
      </c>
      <c r="E205" s="184" t="s">
        <v>19</v>
      </c>
      <c r="F205" s="182">
        <v>45099</v>
      </c>
      <c r="G205" s="186" t="s">
        <v>114</v>
      </c>
      <c r="H205" s="184" t="s">
        <v>189</v>
      </c>
    </row>
    <row r="206" spans="1:20">
      <c r="A206" s="182">
        <v>45065</v>
      </c>
      <c r="B206" s="183">
        <v>0.48281250000000003</v>
      </c>
      <c r="C206" s="184" t="s">
        <v>73</v>
      </c>
      <c r="D206" s="184" t="s">
        <v>91</v>
      </c>
      <c r="E206" s="184" t="s">
        <v>96</v>
      </c>
      <c r="F206" s="182">
        <v>45080</v>
      </c>
      <c r="G206" s="186" t="s">
        <v>114</v>
      </c>
      <c r="H206" s="184" t="s">
        <v>756</v>
      </c>
    </row>
    <row r="207" spans="1:20">
      <c r="A207" s="182">
        <v>45065</v>
      </c>
      <c r="B207" s="183">
        <v>0.48554398148148148</v>
      </c>
      <c r="C207" s="184" t="s">
        <v>73</v>
      </c>
      <c r="D207" s="184" t="s">
        <v>91</v>
      </c>
      <c r="E207" s="184" t="s">
        <v>45</v>
      </c>
      <c r="F207" s="182">
        <v>45114</v>
      </c>
      <c r="G207" s="186" t="s">
        <v>94</v>
      </c>
      <c r="H207" s="184" t="s">
        <v>227</v>
      </c>
    </row>
    <row r="208" spans="1:20">
      <c r="A208" s="182">
        <v>45065</v>
      </c>
      <c r="B208" s="183">
        <v>0.50149305555555557</v>
      </c>
      <c r="C208" s="184" t="s">
        <v>73</v>
      </c>
      <c r="D208" s="184" t="s">
        <v>68</v>
      </c>
      <c r="E208" s="184" t="s">
        <v>19</v>
      </c>
      <c r="F208" s="182">
        <v>45099</v>
      </c>
      <c r="G208" s="186" t="s">
        <v>70</v>
      </c>
      <c r="H208" s="184" t="s">
        <v>256</v>
      </c>
      <c r="T208" s="184" t="s">
        <v>1070</v>
      </c>
    </row>
    <row r="209" spans="1:20">
      <c r="A209" s="182">
        <v>45065</v>
      </c>
      <c r="B209" s="183">
        <v>0.59030092592592587</v>
      </c>
      <c r="C209" s="184" t="s">
        <v>73</v>
      </c>
      <c r="D209" s="184" t="s">
        <v>91</v>
      </c>
      <c r="E209" s="184" t="s">
        <v>96</v>
      </c>
      <c r="F209" s="182">
        <v>45080</v>
      </c>
      <c r="G209" s="186" t="s">
        <v>115</v>
      </c>
      <c r="H209" s="184" t="s">
        <v>803</v>
      </c>
    </row>
    <row r="210" spans="1:20">
      <c r="A210" s="182">
        <v>45065</v>
      </c>
      <c r="B210" s="183">
        <v>0.61093750000000002</v>
      </c>
      <c r="C210" s="184" t="s">
        <v>73</v>
      </c>
      <c r="D210" s="184" t="s">
        <v>68</v>
      </c>
      <c r="E210" s="184" t="s">
        <v>45</v>
      </c>
      <c r="F210" s="182">
        <v>45114</v>
      </c>
      <c r="G210" s="186" t="s">
        <v>114</v>
      </c>
      <c r="H210" s="184" t="s">
        <v>305</v>
      </c>
      <c r="T210" s="184" t="s">
        <v>1071</v>
      </c>
    </row>
    <row r="211" spans="1:20">
      <c r="A211" s="182">
        <v>45065</v>
      </c>
      <c r="B211" s="183">
        <v>0.61302083333333335</v>
      </c>
      <c r="C211" s="184" t="s">
        <v>73</v>
      </c>
      <c r="D211" s="184" t="s">
        <v>68</v>
      </c>
      <c r="E211" s="184" t="s">
        <v>96</v>
      </c>
      <c r="F211" s="182">
        <v>45236</v>
      </c>
      <c r="G211" s="186" t="s">
        <v>70</v>
      </c>
      <c r="H211" s="184" t="s">
        <v>71</v>
      </c>
      <c r="T211" s="275" t="s">
        <v>824</v>
      </c>
    </row>
    <row r="212" spans="1:20">
      <c r="A212" s="182">
        <v>45065</v>
      </c>
      <c r="B212" s="183">
        <v>0.61890046296296297</v>
      </c>
      <c r="C212" s="184" t="s">
        <v>73</v>
      </c>
      <c r="D212" s="184" t="s">
        <v>78</v>
      </c>
      <c r="E212" s="184" t="s">
        <v>19</v>
      </c>
      <c r="F212" s="182">
        <v>45099</v>
      </c>
      <c r="G212" s="186" t="s">
        <v>114</v>
      </c>
      <c r="H212" s="184" t="s">
        <v>80</v>
      </c>
    </row>
    <row r="213" spans="1:20">
      <c r="A213" s="182">
        <v>45065</v>
      </c>
      <c r="B213" s="183">
        <v>0.61913194444444442</v>
      </c>
      <c r="C213" s="184" t="s">
        <v>73</v>
      </c>
      <c r="D213" s="184" t="s">
        <v>78</v>
      </c>
      <c r="E213" s="184" t="s">
        <v>96</v>
      </c>
      <c r="F213" s="182">
        <v>45118</v>
      </c>
      <c r="G213" s="186" t="s">
        <v>94</v>
      </c>
      <c r="H213" s="184" t="s">
        <v>113</v>
      </c>
    </row>
    <row r="214" spans="1:20">
      <c r="A214" s="182">
        <v>45065</v>
      </c>
      <c r="B214" s="183">
        <v>0.63290509259259264</v>
      </c>
      <c r="C214" s="184" t="s">
        <v>73</v>
      </c>
      <c r="D214" s="184" t="s">
        <v>68</v>
      </c>
      <c r="E214" s="184" t="s">
        <v>45</v>
      </c>
      <c r="F214" s="182">
        <v>45114</v>
      </c>
      <c r="G214" s="186" t="s">
        <v>114</v>
      </c>
      <c r="H214" s="184" t="s">
        <v>185</v>
      </c>
      <c r="T214" s="184" t="s">
        <v>1046</v>
      </c>
    </row>
    <row r="215" spans="1:20">
      <c r="A215" s="182">
        <v>45068</v>
      </c>
      <c r="B215" s="183">
        <v>0.38130787037037034</v>
      </c>
      <c r="C215" s="184" t="s">
        <v>67</v>
      </c>
      <c r="D215" s="184" t="s">
        <v>91</v>
      </c>
      <c r="E215" s="184" t="s">
        <v>96</v>
      </c>
      <c r="F215" s="182">
        <v>45080</v>
      </c>
      <c r="G215" s="186" t="s">
        <v>114</v>
      </c>
      <c r="H215" s="184" t="s">
        <v>756</v>
      </c>
    </row>
    <row r="216" spans="1:20">
      <c r="A216" s="182">
        <v>45068</v>
      </c>
      <c r="B216" s="183">
        <v>0.56458333333333333</v>
      </c>
      <c r="C216" s="184" t="s">
        <v>67</v>
      </c>
      <c r="D216" s="184" t="s">
        <v>68</v>
      </c>
      <c r="E216" s="184" t="s">
        <v>19</v>
      </c>
      <c r="F216" s="182">
        <v>45099</v>
      </c>
      <c r="G216" s="186" t="s">
        <v>99</v>
      </c>
      <c r="H216" s="184" t="s">
        <v>260</v>
      </c>
      <c r="T216" s="184" t="s">
        <v>1072</v>
      </c>
    </row>
    <row r="217" spans="1:20">
      <c r="A217" s="182">
        <v>45068</v>
      </c>
      <c r="B217" s="183">
        <v>0.56498842592592591</v>
      </c>
      <c r="C217" s="184" t="s">
        <v>67</v>
      </c>
      <c r="D217" s="184" t="s">
        <v>68</v>
      </c>
      <c r="E217" s="184" t="s">
        <v>19</v>
      </c>
      <c r="F217" s="182">
        <v>45211</v>
      </c>
      <c r="G217" s="186" t="s">
        <v>94</v>
      </c>
      <c r="H217" s="184" t="s">
        <v>76</v>
      </c>
      <c r="T217" s="184" t="s">
        <v>1073</v>
      </c>
    </row>
    <row r="218" spans="1:20">
      <c r="A218" s="182">
        <v>45068</v>
      </c>
      <c r="B218" s="183">
        <v>0.6448032407407408</v>
      </c>
      <c r="C218" s="184" t="s">
        <v>67</v>
      </c>
      <c r="D218" s="184" t="s">
        <v>91</v>
      </c>
      <c r="E218" s="184" t="s">
        <v>96</v>
      </c>
      <c r="F218" s="182">
        <v>45080</v>
      </c>
      <c r="G218" s="186" t="s">
        <v>99</v>
      </c>
      <c r="H218" s="184" t="s">
        <v>752</v>
      </c>
    </row>
    <row r="219" spans="1:20">
      <c r="A219" s="182">
        <v>45068</v>
      </c>
      <c r="B219" s="183">
        <v>0.67906250000000001</v>
      </c>
      <c r="C219" s="184" t="s">
        <v>67</v>
      </c>
      <c r="D219" s="184" t="s">
        <v>68</v>
      </c>
      <c r="E219" s="184" t="s">
        <v>69</v>
      </c>
      <c r="F219" s="182">
        <v>45114</v>
      </c>
      <c r="G219" s="186" t="s">
        <v>94</v>
      </c>
      <c r="H219" s="184" t="s">
        <v>87</v>
      </c>
      <c r="T219" s="184" t="s">
        <v>234</v>
      </c>
    </row>
    <row r="220" spans="1:20">
      <c r="A220" s="182">
        <v>45069</v>
      </c>
      <c r="B220" s="183">
        <v>0.38130787037037034</v>
      </c>
      <c r="C220" s="184" t="s">
        <v>67</v>
      </c>
      <c r="D220" s="184" t="s">
        <v>91</v>
      </c>
      <c r="E220" s="184" t="s">
        <v>19</v>
      </c>
      <c r="F220" s="182">
        <v>45099</v>
      </c>
      <c r="G220" s="186" t="s">
        <v>804</v>
      </c>
      <c r="H220" s="184" t="s">
        <v>189</v>
      </c>
    </row>
    <row r="221" spans="1:20">
      <c r="A221" s="182">
        <v>45069</v>
      </c>
      <c r="B221" s="183">
        <v>0.38136574074074076</v>
      </c>
      <c r="C221" s="184" t="s">
        <v>67</v>
      </c>
      <c r="D221" s="184" t="s">
        <v>68</v>
      </c>
      <c r="E221" s="184" t="s">
        <v>19</v>
      </c>
      <c r="F221" s="182">
        <v>45099</v>
      </c>
      <c r="G221" s="186" t="s">
        <v>94</v>
      </c>
      <c r="H221" s="184" t="s">
        <v>256</v>
      </c>
      <c r="T221" s="184" t="s">
        <v>97</v>
      </c>
    </row>
    <row r="222" spans="1:20">
      <c r="A222" s="182">
        <v>45069</v>
      </c>
      <c r="B222" s="183">
        <v>0.3825115740740741</v>
      </c>
      <c r="C222" s="184" t="s">
        <v>67</v>
      </c>
      <c r="D222" s="184" t="s">
        <v>68</v>
      </c>
      <c r="E222" s="184" t="s">
        <v>45</v>
      </c>
      <c r="F222" s="182">
        <v>45114</v>
      </c>
      <c r="G222" s="186" t="s">
        <v>94</v>
      </c>
      <c r="H222" s="184" t="s">
        <v>308</v>
      </c>
      <c r="T222" s="184" t="s">
        <v>97</v>
      </c>
    </row>
    <row r="223" spans="1:20">
      <c r="A223" s="182">
        <v>45069</v>
      </c>
      <c r="B223" s="183">
        <v>0.38614583333333335</v>
      </c>
      <c r="C223" s="184" t="s">
        <v>67</v>
      </c>
      <c r="D223" s="184" t="s">
        <v>68</v>
      </c>
      <c r="E223" s="184" t="s">
        <v>96</v>
      </c>
      <c r="F223" s="182">
        <v>45118</v>
      </c>
      <c r="G223" s="186" t="s">
        <v>94</v>
      </c>
      <c r="H223" s="184" t="s">
        <v>239</v>
      </c>
      <c r="T223" s="184" t="s">
        <v>452</v>
      </c>
    </row>
    <row r="224" spans="1:20">
      <c r="A224" s="182">
        <v>45069</v>
      </c>
      <c r="B224" s="183">
        <v>0.40444444444444444</v>
      </c>
      <c r="C224" s="184" t="s">
        <v>67</v>
      </c>
      <c r="D224" s="184" t="s">
        <v>68</v>
      </c>
      <c r="E224" s="184" t="s">
        <v>96</v>
      </c>
      <c r="F224" s="182">
        <v>45118</v>
      </c>
      <c r="G224" s="186" t="s">
        <v>1074</v>
      </c>
      <c r="H224" s="184" t="s">
        <v>529</v>
      </c>
      <c r="T224" s="184" t="s">
        <v>147</v>
      </c>
    </row>
    <row r="225" spans="1:20">
      <c r="A225" s="182">
        <v>45069</v>
      </c>
      <c r="B225" s="183">
        <v>0.41760416666666672</v>
      </c>
      <c r="C225" s="184" t="s">
        <v>67</v>
      </c>
      <c r="D225" s="184" t="s">
        <v>91</v>
      </c>
      <c r="E225" s="184" t="s">
        <v>96</v>
      </c>
      <c r="F225" s="182">
        <v>45080</v>
      </c>
      <c r="G225" s="186" t="s">
        <v>99</v>
      </c>
      <c r="H225" s="184" t="s">
        <v>803</v>
      </c>
    </row>
    <row r="226" spans="1:20">
      <c r="A226" s="182">
        <v>45069</v>
      </c>
      <c r="B226" s="183">
        <v>0.45067129629629626</v>
      </c>
      <c r="C226" s="184" t="s">
        <v>67</v>
      </c>
      <c r="D226" s="184" t="s">
        <v>68</v>
      </c>
      <c r="E226" s="184" t="s">
        <v>1060</v>
      </c>
      <c r="F226" s="182">
        <v>45230</v>
      </c>
      <c r="G226" s="186" t="s">
        <v>94</v>
      </c>
      <c r="H226" s="184" t="s">
        <v>182</v>
      </c>
      <c r="T226" s="184" t="s">
        <v>1075</v>
      </c>
    </row>
    <row r="227" spans="1:20">
      <c r="A227" s="182">
        <v>45069</v>
      </c>
      <c r="B227" s="183">
        <v>0.45144675925925926</v>
      </c>
      <c r="C227" s="184" t="s">
        <v>67</v>
      </c>
      <c r="D227" s="184" t="s">
        <v>68</v>
      </c>
      <c r="E227" s="184" t="s">
        <v>1060</v>
      </c>
      <c r="F227" s="182">
        <v>45230</v>
      </c>
      <c r="G227" s="186" t="s">
        <v>94</v>
      </c>
      <c r="H227" s="184" t="s">
        <v>117</v>
      </c>
      <c r="T227" s="184" t="s">
        <v>1076</v>
      </c>
    </row>
    <row r="228" spans="1:20">
      <c r="A228" s="182">
        <v>45069</v>
      </c>
      <c r="B228" s="183">
        <v>0.54275462962962961</v>
      </c>
      <c r="C228" s="184" t="s">
        <v>67</v>
      </c>
      <c r="D228" s="184" t="s">
        <v>78</v>
      </c>
      <c r="E228" s="184" t="s">
        <v>19</v>
      </c>
      <c r="F228" s="182">
        <v>45099</v>
      </c>
      <c r="G228" s="186" t="s">
        <v>94</v>
      </c>
      <c r="H228" s="184" t="s">
        <v>98</v>
      </c>
    </row>
    <row r="229" spans="1:20">
      <c r="A229" s="182">
        <v>45069</v>
      </c>
      <c r="B229" s="183">
        <v>0.64377314814814812</v>
      </c>
      <c r="C229" s="184" t="s">
        <v>67</v>
      </c>
      <c r="D229" s="184" t="s">
        <v>78</v>
      </c>
      <c r="E229" s="184" t="s">
        <v>19</v>
      </c>
      <c r="F229" s="182">
        <v>45099</v>
      </c>
      <c r="G229" s="186" t="s">
        <v>114</v>
      </c>
      <c r="H229" s="184" t="s">
        <v>84</v>
      </c>
    </row>
    <row r="230" spans="1:20">
      <c r="A230" s="182">
        <v>45069</v>
      </c>
      <c r="B230" s="183">
        <v>0.6439583333333333</v>
      </c>
      <c r="C230" s="184" t="s">
        <v>67</v>
      </c>
      <c r="D230" s="184" t="s">
        <v>78</v>
      </c>
      <c r="E230" s="184" t="s">
        <v>45</v>
      </c>
      <c r="F230" s="182">
        <v>45114</v>
      </c>
      <c r="G230" s="186" t="s">
        <v>114</v>
      </c>
      <c r="H230" s="184" t="s">
        <v>265</v>
      </c>
    </row>
    <row r="231" spans="1:20">
      <c r="A231" s="182">
        <v>45069</v>
      </c>
      <c r="B231" s="183">
        <v>0.64429398148148154</v>
      </c>
      <c r="C231" s="184" t="s">
        <v>67</v>
      </c>
      <c r="D231" s="184" t="s">
        <v>78</v>
      </c>
      <c r="E231" s="184" t="s">
        <v>96</v>
      </c>
      <c r="F231" s="182">
        <v>45205</v>
      </c>
      <c r="G231" s="186" t="s">
        <v>982</v>
      </c>
      <c r="H231" s="184" t="s">
        <v>86</v>
      </c>
    </row>
    <row r="232" spans="1:20">
      <c r="A232" s="182">
        <v>45069</v>
      </c>
      <c r="B232" s="183">
        <v>0.66170138888888885</v>
      </c>
      <c r="C232" s="184" t="s">
        <v>67</v>
      </c>
      <c r="D232" s="184" t="s">
        <v>68</v>
      </c>
      <c r="E232" s="184" t="s">
        <v>69</v>
      </c>
      <c r="F232" s="182">
        <v>45114</v>
      </c>
      <c r="G232" s="186" t="s">
        <v>83</v>
      </c>
      <c r="H232" s="184" t="s">
        <v>117</v>
      </c>
      <c r="T232" s="184" t="s">
        <v>1077</v>
      </c>
    </row>
    <row r="233" spans="1:20">
      <c r="A233" s="182">
        <v>45069</v>
      </c>
      <c r="B233" s="183">
        <v>0.70552083333333337</v>
      </c>
      <c r="C233" s="184" t="s">
        <v>67</v>
      </c>
      <c r="D233" s="184" t="s">
        <v>68</v>
      </c>
      <c r="E233" s="184" t="s">
        <v>124</v>
      </c>
      <c r="F233" s="182">
        <v>45128</v>
      </c>
      <c r="G233" s="186" t="s">
        <v>94</v>
      </c>
      <c r="H233" s="184" t="s">
        <v>273</v>
      </c>
      <c r="T233" s="184" t="s">
        <v>1078</v>
      </c>
    </row>
    <row r="234" spans="1:20">
      <c r="A234" s="182">
        <v>45069</v>
      </c>
      <c r="B234" s="183">
        <v>0.70655092592592583</v>
      </c>
      <c r="C234" s="184" t="s">
        <v>67</v>
      </c>
      <c r="D234" s="184" t="s">
        <v>68</v>
      </c>
      <c r="E234" s="184" t="s">
        <v>124</v>
      </c>
      <c r="F234" s="182">
        <v>45252</v>
      </c>
      <c r="G234" s="186" t="s">
        <v>94</v>
      </c>
      <c r="H234" s="184" t="s">
        <v>76</v>
      </c>
      <c r="T234" s="184" t="s">
        <v>1078</v>
      </c>
    </row>
    <row r="235" spans="1:20">
      <c r="A235" s="182">
        <v>45069</v>
      </c>
      <c r="B235" s="183">
        <v>0.70961805555555557</v>
      </c>
      <c r="C235" s="184" t="s">
        <v>67</v>
      </c>
      <c r="D235" s="184" t="s">
        <v>91</v>
      </c>
      <c r="E235" s="184" t="s">
        <v>1060</v>
      </c>
      <c r="F235" s="182">
        <v>45230</v>
      </c>
      <c r="G235" s="186" t="s">
        <v>119</v>
      </c>
      <c r="H235" s="184" t="s">
        <v>120</v>
      </c>
    </row>
    <row r="236" spans="1:20">
      <c r="A236" s="182">
        <v>45070</v>
      </c>
      <c r="B236" s="183">
        <v>0.4689814814814815</v>
      </c>
      <c r="C236" s="184" t="s">
        <v>73</v>
      </c>
      <c r="D236" s="184" t="s">
        <v>68</v>
      </c>
      <c r="E236" s="184" t="s">
        <v>96</v>
      </c>
      <c r="F236" s="182">
        <v>45080</v>
      </c>
      <c r="G236" s="186" t="s">
        <v>94</v>
      </c>
      <c r="H236" s="184" t="s">
        <v>101</v>
      </c>
      <c r="T236" s="184" t="s">
        <v>1079</v>
      </c>
    </row>
    <row r="237" spans="1:20">
      <c r="A237" s="182">
        <v>45070</v>
      </c>
      <c r="B237" s="183">
        <v>0.54159722222222217</v>
      </c>
      <c r="C237" s="184" t="s">
        <v>73</v>
      </c>
      <c r="D237" s="184" t="s">
        <v>78</v>
      </c>
      <c r="E237" s="184" t="s">
        <v>19</v>
      </c>
      <c r="F237" s="182">
        <v>45099</v>
      </c>
      <c r="G237" s="186" t="s">
        <v>94</v>
      </c>
      <c r="H237" s="184" t="s">
        <v>297</v>
      </c>
    </row>
    <row r="238" spans="1:20">
      <c r="A238" s="182">
        <v>45070</v>
      </c>
      <c r="B238" s="183">
        <v>0.60539351851851853</v>
      </c>
      <c r="C238" s="184" t="s">
        <v>73</v>
      </c>
      <c r="D238" s="184" t="s">
        <v>68</v>
      </c>
      <c r="E238" s="184" t="s">
        <v>96</v>
      </c>
      <c r="F238" s="182">
        <v>45080</v>
      </c>
      <c r="G238" s="186" t="s">
        <v>99</v>
      </c>
      <c r="H238" s="184" t="s">
        <v>87</v>
      </c>
      <c r="T238" s="184" t="s">
        <v>1079</v>
      </c>
    </row>
    <row r="239" spans="1:20">
      <c r="A239" s="182">
        <v>45070</v>
      </c>
      <c r="B239" s="183">
        <v>0.69677083333333334</v>
      </c>
      <c r="C239" s="184" t="s">
        <v>73</v>
      </c>
      <c r="D239" s="184" t="s">
        <v>78</v>
      </c>
      <c r="E239" s="184" t="s">
        <v>19</v>
      </c>
      <c r="F239" s="182">
        <v>45099</v>
      </c>
      <c r="G239" s="186" t="s">
        <v>94</v>
      </c>
      <c r="H239" s="184" t="s">
        <v>280</v>
      </c>
    </row>
    <row r="240" spans="1:20">
      <c r="A240" s="182">
        <v>45070</v>
      </c>
      <c r="B240" s="183">
        <v>0.69695601851851852</v>
      </c>
      <c r="C240" s="184" t="s">
        <v>73</v>
      </c>
      <c r="D240" s="184" t="s">
        <v>78</v>
      </c>
      <c r="E240" s="184" t="s">
        <v>45</v>
      </c>
      <c r="F240" s="182">
        <v>45114</v>
      </c>
      <c r="G240" s="186" t="s">
        <v>94</v>
      </c>
      <c r="H240" s="184" t="s">
        <v>288</v>
      </c>
    </row>
    <row r="241" spans="1:20">
      <c r="A241" s="182">
        <v>45071</v>
      </c>
      <c r="B241" s="183">
        <v>0.38553240740740741</v>
      </c>
      <c r="C241" s="184" t="s">
        <v>67</v>
      </c>
      <c r="D241" s="184" t="s">
        <v>68</v>
      </c>
      <c r="E241" s="184" t="s">
        <v>19</v>
      </c>
      <c r="F241" s="182">
        <v>45099</v>
      </c>
      <c r="G241" s="186" t="s">
        <v>94</v>
      </c>
      <c r="H241" s="184" t="s">
        <v>305</v>
      </c>
      <c r="T241" s="184" t="s">
        <v>409</v>
      </c>
    </row>
    <row r="242" spans="1:20">
      <c r="A242" s="182">
        <v>45071</v>
      </c>
      <c r="B242" s="183">
        <v>0.41569444444444442</v>
      </c>
      <c r="C242" s="184" t="s">
        <v>67</v>
      </c>
      <c r="D242" s="184" t="s">
        <v>68</v>
      </c>
      <c r="E242" s="184" t="s">
        <v>19</v>
      </c>
      <c r="F242" s="182">
        <v>45099</v>
      </c>
      <c r="G242" s="186" t="s">
        <v>114</v>
      </c>
      <c r="H242" s="184" t="s">
        <v>185</v>
      </c>
      <c r="T242" s="184" t="s">
        <v>1080</v>
      </c>
    </row>
    <row r="243" spans="1:20">
      <c r="A243" s="182">
        <v>45071</v>
      </c>
      <c r="B243" s="183">
        <v>0.58835648148148145</v>
      </c>
      <c r="C243" s="184" t="s">
        <v>67</v>
      </c>
      <c r="D243" s="184" t="s">
        <v>91</v>
      </c>
      <c r="E243" s="184" t="s">
        <v>69</v>
      </c>
      <c r="F243" s="182">
        <v>45114</v>
      </c>
      <c r="G243" s="186" t="s">
        <v>83</v>
      </c>
      <c r="H243" s="184" t="s">
        <v>218</v>
      </c>
    </row>
    <row r="244" spans="1:20">
      <c r="A244" s="182">
        <v>45072</v>
      </c>
      <c r="B244" s="183">
        <v>0.38137731481481479</v>
      </c>
      <c r="C244" s="184" t="s">
        <v>67</v>
      </c>
      <c r="D244" s="184" t="s">
        <v>68</v>
      </c>
      <c r="E244" s="184" t="s">
        <v>96</v>
      </c>
      <c r="F244" s="182">
        <v>45118</v>
      </c>
      <c r="G244" s="186" t="s">
        <v>263</v>
      </c>
      <c r="H244" s="184" t="s">
        <v>239</v>
      </c>
      <c r="T244" s="184" t="s">
        <v>147</v>
      </c>
    </row>
    <row r="245" spans="1:20">
      <c r="A245" s="182">
        <v>45072</v>
      </c>
      <c r="B245" s="183">
        <v>0.38853009259259258</v>
      </c>
      <c r="C245" s="184" t="s">
        <v>67</v>
      </c>
      <c r="D245" s="184" t="s">
        <v>68</v>
      </c>
      <c r="E245" s="184" t="s">
        <v>96</v>
      </c>
      <c r="F245" s="182">
        <v>45118</v>
      </c>
      <c r="G245" s="186" t="s">
        <v>94</v>
      </c>
      <c r="H245" s="184" t="s">
        <v>241</v>
      </c>
      <c r="T245" s="184" t="s">
        <v>819</v>
      </c>
    </row>
    <row r="246" spans="1:20">
      <c r="A246" s="182">
        <v>45072</v>
      </c>
      <c r="B246" s="183">
        <v>0.39324074074074072</v>
      </c>
      <c r="C246" s="184" t="s">
        <v>67</v>
      </c>
      <c r="D246" s="184" t="s">
        <v>68</v>
      </c>
      <c r="E246" s="184" t="s">
        <v>96</v>
      </c>
      <c r="F246" s="182">
        <v>45118</v>
      </c>
      <c r="G246" s="186" t="s">
        <v>94</v>
      </c>
      <c r="H246" s="184" t="s">
        <v>245</v>
      </c>
      <c r="T246" s="184" t="s">
        <v>1004</v>
      </c>
    </row>
    <row r="247" spans="1:20">
      <c r="A247" s="182">
        <v>45072</v>
      </c>
      <c r="B247" s="183">
        <v>0.40608796296296296</v>
      </c>
      <c r="C247" s="184" t="s">
        <v>67</v>
      </c>
      <c r="D247" s="184" t="s">
        <v>78</v>
      </c>
      <c r="E247" s="184" t="s">
        <v>96</v>
      </c>
      <c r="F247" s="182">
        <v>45118</v>
      </c>
      <c r="G247" s="186" t="s">
        <v>94</v>
      </c>
      <c r="H247" s="184" t="s">
        <v>265</v>
      </c>
    </row>
    <row r="248" spans="1:20">
      <c r="A248" s="182">
        <v>45072</v>
      </c>
      <c r="B248" s="183">
        <v>0.42928240740740736</v>
      </c>
      <c r="C248" s="184" t="s">
        <v>73</v>
      </c>
      <c r="D248" s="184" t="s">
        <v>68</v>
      </c>
      <c r="E248" s="184" t="s">
        <v>1060</v>
      </c>
      <c r="F248" s="182">
        <v>45230</v>
      </c>
      <c r="G248" s="186" t="s">
        <v>114</v>
      </c>
      <c r="H248" s="184" t="s">
        <v>273</v>
      </c>
      <c r="T248" s="184" t="s">
        <v>1081</v>
      </c>
    </row>
    <row r="249" spans="1:20">
      <c r="A249" s="182">
        <v>45072</v>
      </c>
      <c r="B249" s="183">
        <v>0.43010416666666668</v>
      </c>
      <c r="C249" s="184" t="s">
        <v>73</v>
      </c>
      <c r="D249" s="184" t="s">
        <v>68</v>
      </c>
      <c r="E249" s="184" t="s">
        <v>1060</v>
      </c>
      <c r="F249" s="182">
        <v>45230</v>
      </c>
      <c r="G249" s="186" t="s">
        <v>94</v>
      </c>
      <c r="H249" s="184" t="s">
        <v>261</v>
      </c>
      <c r="T249" s="184" t="s">
        <v>1082</v>
      </c>
    </row>
    <row r="250" spans="1:20">
      <c r="A250" s="182">
        <v>45072</v>
      </c>
      <c r="B250" s="183">
        <v>0.49407407407407411</v>
      </c>
      <c r="C250" s="184" t="s">
        <v>73</v>
      </c>
      <c r="D250" s="184" t="s">
        <v>68</v>
      </c>
      <c r="E250" s="184" t="s">
        <v>45</v>
      </c>
      <c r="F250" s="182">
        <v>45247</v>
      </c>
      <c r="G250" s="186" t="s">
        <v>70</v>
      </c>
      <c r="H250" s="184" t="s">
        <v>71</v>
      </c>
      <c r="T250" s="184" t="s">
        <v>284</v>
      </c>
    </row>
    <row r="251" spans="1:20">
      <c r="A251" s="182">
        <v>45072</v>
      </c>
      <c r="B251" s="183">
        <v>0.58006944444444442</v>
      </c>
      <c r="C251" s="184" t="s">
        <v>73</v>
      </c>
      <c r="D251" s="184" t="s">
        <v>91</v>
      </c>
      <c r="E251" s="184" t="s">
        <v>45</v>
      </c>
      <c r="F251" s="182">
        <v>45114</v>
      </c>
      <c r="G251" s="186" t="s">
        <v>94</v>
      </c>
      <c r="H251" s="184" t="s">
        <v>285</v>
      </c>
    </row>
    <row r="252" spans="1:20">
      <c r="A252" s="182">
        <v>45072</v>
      </c>
      <c r="B252" s="183">
        <v>0.66555555555555557</v>
      </c>
      <c r="C252" s="184" t="s">
        <v>73</v>
      </c>
      <c r="D252" s="184" t="s">
        <v>91</v>
      </c>
      <c r="E252" s="184" t="s">
        <v>124</v>
      </c>
      <c r="F252" s="182">
        <v>45128</v>
      </c>
      <c r="G252" s="186" t="s">
        <v>114</v>
      </c>
      <c r="H252" s="184" t="s">
        <v>285</v>
      </c>
    </row>
    <row r="253" spans="1:20">
      <c r="A253" s="182">
        <v>45072</v>
      </c>
      <c r="B253" s="183">
        <v>0.66613425925925929</v>
      </c>
      <c r="C253" s="184" t="s">
        <v>73</v>
      </c>
      <c r="D253" s="184" t="s">
        <v>91</v>
      </c>
      <c r="E253" s="184" t="s">
        <v>45</v>
      </c>
      <c r="F253" s="182">
        <v>45114</v>
      </c>
      <c r="G253" s="186" t="s">
        <v>94</v>
      </c>
      <c r="H253" s="184" t="s">
        <v>120</v>
      </c>
    </row>
    <row r="254" spans="1:20">
      <c r="A254" s="182">
        <v>45075</v>
      </c>
      <c r="B254" s="183">
        <v>0.65664351851851854</v>
      </c>
      <c r="C254" s="184" t="s">
        <v>67</v>
      </c>
      <c r="D254" s="184" t="s">
        <v>91</v>
      </c>
      <c r="E254" s="184" t="s">
        <v>85</v>
      </c>
      <c r="F254" s="182">
        <v>45133</v>
      </c>
      <c r="G254" s="186" t="s">
        <v>94</v>
      </c>
      <c r="H254" s="184" t="s">
        <v>120</v>
      </c>
    </row>
    <row r="255" spans="1:20">
      <c r="A255" s="182">
        <v>45076</v>
      </c>
      <c r="B255" s="183">
        <v>0.64559027777777778</v>
      </c>
      <c r="C255" s="184" t="s">
        <v>67</v>
      </c>
      <c r="D255" s="184" t="s">
        <v>68</v>
      </c>
      <c r="E255" s="184" t="s">
        <v>1060</v>
      </c>
      <c r="F255" s="182">
        <v>45230</v>
      </c>
      <c r="G255" s="186" t="s">
        <v>94</v>
      </c>
      <c r="H255" s="184" t="s">
        <v>260</v>
      </c>
      <c r="T255" s="184" t="s">
        <v>951</v>
      </c>
    </row>
    <row r="256" spans="1:20">
      <c r="A256" s="182">
        <v>45076</v>
      </c>
      <c r="B256" s="183">
        <v>0.65642361111111114</v>
      </c>
      <c r="C256" s="184" t="s">
        <v>67</v>
      </c>
      <c r="D256" s="184" t="s">
        <v>68</v>
      </c>
      <c r="E256" s="184" t="s">
        <v>19</v>
      </c>
      <c r="F256" s="182">
        <v>45099</v>
      </c>
      <c r="G256" s="186" t="s">
        <v>115</v>
      </c>
      <c r="H256" s="184" t="s">
        <v>305</v>
      </c>
      <c r="T256" s="184" t="s">
        <v>371</v>
      </c>
    </row>
    <row r="257" spans="1:20">
      <c r="A257" s="182">
        <v>45076</v>
      </c>
      <c r="B257" s="183">
        <v>0.65836805555555555</v>
      </c>
      <c r="C257" s="184" t="s">
        <v>67</v>
      </c>
      <c r="D257" s="184" t="s">
        <v>68</v>
      </c>
      <c r="E257" s="184" t="s">
        <v>19</v>
      </c>
      <c r="F257" s="182">
        <v>45099</v>
      </c>
      <c r="G257" s="186" t="s">
        <v>94</v>
      </c>
      <c r="H257" s="184" t="s">
        <v>322</v>
      </c>
      <c r="T257" s="184" t="s">
        <v>1083</v>
      </c>
    </row>
    <row r="258" spans="1:20">
      <c r="A258" s="182">
        <v>45076</v>
      </c>
      <c r="B258" s="183">
        <v>0.65982638888888889</v>
      </c>
      <c r="C258" s="184" t="s">
        <v>67</v>
      </c>
      <c r="D258" s="184" t="s">
        <v>91</v>
      </c>
      <c r="E258" s="184" t="s">
        <v>19</v>
      </c>
      <c r="F258" s="182">
        <v>45099</v>
      </c>
      <c r="G258" s="186" t="s">
        <v>94</v>
      </c>
      <c r="H258" s="184" t="s">
        <v>218</v>
      </c>
    </row>
    <row r="259" spans="1:20">
      <c r="A259" s="182">
        <v>45077</v>
      </c>
      <c r="B259" s="183">
        <v>0.4722337962962963</v>
      </c>
      <c r="C259" s="184" t="s">
        <v>67</v>
      </c>
      <c r="D259" s="184" t="s">
        <v>78</v>
      </c>
      <c r="E259" s="184" t="s">
        <v>96</v>
      </c>
      <c r="F259" s="182">
        <v>45118</v>
      </c>
      <c r="G259" s="186" t="s">
        <v>94</v>
      </c>
      <c r="H259" s="184" t="s">
        <v>288</v>
      </c>
    </row>
    <row r="260" spans="1:20">
      <c r="A260" s="182">
        <v>45077</v>
      </c>
      <c r="B260" s="183">
        <v>0.57155092592592593</v>
      </c>
      <c r="C260" s="184" t="s">
        <v>73</v>
      </c>
      <c r="D260" s="184" t="s">
        <v>159</v>
      </c>
      <c r="E260" s="184" t="s">
        <v>96</v>
      </c>
      <c r="F260" s="182">
        <v>45118</v>
      </c>
      <c r="G260" s="186" t="s">
        <v>99</v>
      </c>
      <c r="H260" s="184" t="s">
        <v>216</v>
      </c>
      <c r="I260" s="184" t="s">
        <v>964</v>
      </c>
    </row>
    <row r="261" spans="1:20">
      <c r="A261" s="182">
        <v>45077</v>
      </c>
      <c r="B261" s="183">
        <v>0.61821759259259257</v>
      </c>
      <c r="C261" s="184" t="s">
        <v>67</v>
      </c>
      <c r="D261" s="184" t="s">
        <v>78</v>
      </c>
      <c r="E261" s="184" t="s">
        <v>96</v>
      </c>
      <c r="F261" s="182">
        <v>45118</v>
      </c>
      <c r="G261" s="186" t="s">
        <v>94</v>
      </c>
      <c r="H261" s="184" t="s">
        <v>267</v>
      </c>
    </row>
    <row r="262" spans="1:20">
      <c r="A262" s="182">
        <v>45077</v>
      </c>
      <c r="B262" s="183">
        <v>0.70481481481481489</v>
      </c>
      <c r="C262" s="184" t="s">
        <v>67</v>
      </c>
      <c r="D262" s="184" t="s">
        <v>78</v>
      </c>
      <c r="E262" s="184" t="s">
        <v>96</v>
      </c>
      <c r="F262" s="182">
        <v>45118</v>
      </c>
      <c r="G262" s="186" t="s">
        <v>94</v>
      </c>
      <c r="H262" s="184" t="s">
        <v>327</v>
      </c>
    </row>
    <row r="263" spans="1:20">
      <c r="A263" s="182">
        <v>45078</v>
      </c>
      <c r="B263" s="183">
        <v>0.403287037037037</v>
      </c>
      <c r="C263" s="184" t="s">
        <v>67</v>
      </c>
      <c r="D263" s="184" t="s">
        <v>68</v>
      </c>
      <c r="E263" s="184" t="s">
        <v>1060</v>
      </c>
      <c r="F263" s="182">
        <v>45230</v>
      </c>
      <c r="G263" s="186" t="s">
        <v>94</v>
      </c>
      <c r="H263" s="184" t="s">
        <v>256</v>
      </c>
      <c r="T263" s="184" t="s">
        <v>307</v>
      </c>
    </row>
    <row r="264" spans="1:20">
      <c r="A264" s="182">
        <v>45078</v>
      </c>
      <c r="B264" s="183">
        <v>0.44680555555555551</v>
      </c>
      <c r="C264" s="184" t="s">
        <v>73</v>
      </c>
      <c r="D264" s="184" t="s">
        <v>68</v>
      </c>
      <c r="E264" s="184" t="s">
        <v>1060</v>
      </c>
      <c r="F264" s="182">
        <v>45230</v>
      </c>
      <c r="G264" s="186" t="s">
        <v>94</v>
      </c>
      <c r="H264" s="184" t="s">
        <v>305</v>
      </c>
      <c r="T264" s="184" t="s">
        <v>888</v>
      </c>
    </row>
    <row r="265" spans="1:20">
      <c r="A265" s="182">
        <v>45078</v>
      </c>
      <c r="B265" s="183">
        <v>0.5003009259259259</v>
      </c>
      <c r="C265" s="184" t="s">
        <v>73</v>
      </c>
      <c r="D265" s="184" t="s">
        <v>68</v>
      </c>
      <c r="E265" s="184" t="s">
        <v>1060</v>
      </c>
      <c r="F265" s="182">
        <v>45230</v>
      </c>
      <c r="G265" s="186" t="s">
        <v>94</v>
      </c>
      <c r="H265" s="184" t="s">
        <v>322</v>
      </c>
      <c r="T265" s="184" t="s">
        <v>307</v>
      </c>
    </row>
    <row r="266" spans="1:20">
      <c r="A266" s="182">
        <v>45078</v>
      </c>
      <c r="B266" s="183">
        <v>0.55454861111111109</v>
      </c>
      <c r="C266" s="184" t="s">
        <v>67</v>
      </c>
      <c r="D266" s="184" t="s">
        <v>91</v>
      </c>
      <c r="E266" s="184" t="s">
        <v>124</v>
      </c>
      <c r="F266" s="182">
        <v>45128</v>
      </c>
      <c r="G266" s="186" t="s">
        <v>114</v>
      </c>
      <c r="H266" s="184" t="s">
        <v>229</v>
      </c>
    </row>
    <row r="267" spans="1:20">
      <c r="A267" s="182">
        <v>45078</v>
      </c>
      <c r="B267" s="183">
        <v>0.55483796296296295</v>
      </c>
      <c r="C267" s="184" t="s">
        <v>67</v>
      </c>
      <c r="D267" s="184" t="s">
        <v>91</v>
      </c>
      <c r="E267" s="184" t="s">
        <v>69</v>
      </c>
      <c r="F267" s="182">
        <v>45114</v>
      </c>
      <c r="G267" s="186" t="s">
        <v>114</v>
      </c>
      <c r="H267" s="184" t="s">
        <v>337</v>
      </c>
    </row>
    <row r="268" spans="1:20">
      <c r="A268" s="182">
        <v>45082</v>
      </c>
      <c r="B268" s="183">
        <v>0.4165625</v>
      </c>
      <c r="C268" s="184" t="s">
        <v>67</v>
      </c>
      <c r="D268" s="184" t="s">
        <v>68</v>
      </c>
      <c r="E268" s="184" t="s">
        <v>96</v>
      </c>
      <c r="F268" s="182">
        <v>45118</v>
      </c>
      <c r="G268" s="186" t="s">
        <v>94</v>
      </c>
      <c r="H268" s="184" t="s">
        <v>521</v>
      </c>
      <c r="T268" s="184" t="s">
        <v>409</v>
      </c>
    </row>
    <row r="269" spans="1:20">
      <c r="A269" s="182">
        <v>45082</v>
      </c>
      <c r="B269" s="183">
        <v>0.4236111111111111</v>
      </c>
      <c r="C269" s="184" t="s">
        <v>67</v>
      </c>
      <c r="D269" s="184" t="s">
        <v>68</v>
      </c>
      <c r="E269" s="184" t="s">
        <v>45</v>
      </c>
      <c r="F269" s="182">
        <v>45114</v>
      </c>
      <c r="G269" s="186" t="s">
        <v>94</v>
      </c>
      <c r="H269" s="184" t="s">
        <v>190</v>
      </c>
      <c r="T269" s="184" t="s">
        <v>409</v>
      </c>
    </row>
    <row r="270" spans="1:20">
      <c r="A270" s="182">
        <v>45082</v>
      </c>
      <c r="B270" s="183">
        <v>0.43178240740740742</v>
      </c>
      <c r="C270" s="184" t="s">
        <v>73</v>
      </c>
      <c r="D270" s="184" t="s">
        <v>68</v>
      </c>
      <c r="E270" s="184" t="s">
        <v>69</v>
      </c>
      <c r="F270" s="182">
        <v>45114</v>
      </c>
      <c r="G270" s="186" t="s">
        <v>114</v>
      </c>
      <c r="H270" s="184" t="s">
        <v>273</v>
      </c>
      <c r="T270" s="184" t="s">
        <v>1084</v>
      </c>
    </row>
    <row r="271" spans="1:20">
      <c r="A271" s="182">
        <v>45082</v>
      </c>
      <c r="B271" s="183">
        <v>0.43434027777777778</v>
      </c>
      <c r="C271" s="184" t="s">
        <v>73</v>
      </c>
      <c r="D271" s="184" t="s">
        <v>68</v>
      </c>
      <c r="E271" s="184" t="s">
        <v>45</v>
      </c>
      <c r="F271" s="182">
        <v>45114</v>
      </c>
      <c r="G271" s="186" t="s">
        <v>114</v>
      </c>
      <c r="H271" s="184" t="s">
        <v>209</v>
      </c>
      <c r="T271" s="184" t="s">
        <v>582</v>
      </c>
    </row>
    <row r="272" spans="1:20">
      <c r="A272" s="182">
        <v>45082</v>
      </c>
      <c r="B272" s="183">
        <v>0.43569444444444444</v>
      </c>
      <c r="C272" s="184" t="s">
        <v>73</v>
      </c>
      <c r="D272" s="184" t="s">
        <v>68</v>
      </c>
      <c r="E272" s="184" t="s">
        <v>19</v>
      </c>
      <c r="F272" s="182">
        <v>45211</v>
      </c>
      <c r="G272" s="186" t="s">
        <v>94</v>
      </c>
      <c r="H272" s="184" t="s">
        <v>87</v>
      </c>
      <c r="T272" s="184" t="s">
        <v>286</v>
      </c>
    </row>
    <row r="273" spans="1:20">
      <c r="A273" s="182">
        <v>45082</v>
      </c>
      <c r="B273" s="183">
        <v>0.43701388888888887</v>
      </c>
      <c r="C273" s="184" t="s">
        <v>73</v>
      </c>
      <c r="D273" s="184" t="s">
        <v>68</v>
      </c>
      <c r="E273" s="184" t="s">
        <v>124</v>
      </c>
      <c r="F273" s="182">
        <v>45252</v>
      </c>
      <c r="G273" s="186" t="s">
        <v>94</v>
      </c>
      <c r="H273" s="184" t="s">
        <v>87</v>
      </c>
      <c r="T273" s="184" t="s">
        <v>286</v>
      </c>
    </row>
    <row r="274" spans="1:20">
      <c r="A274" s="182">
        <v>45082</v>
      </c>
      <c r="B274" s="183">
        <v>0.55129629629629628</v>
      </c>
      <c r="C274" s="184" t="s">
        <v>73</v>
      </c>
      <c r="D274" s="184" t="s">
        <v>78</v>
      </c>
      <c r="E274" s="184" t="s">
        <v>96</v>
      </c>
      <c r="F274" s="182">
        <v>45118</v>
      </c>
      <c r="G274" s="186" t="s">
        <v>94</v>
      </c>
      <c r="H274" s="184" t="s">
        <v>82</v>
      </c>
    </row>
    <row r="275" spans="1:20">
      <c r="A275" s="182">
        <v>45082</v>
      </c>
      <c r="B275" s="183">
        <v>0.55266203703703709</v>
      </c>
      <c r="C275" s="184" t="s">
        <v>73</v>
      </c>
      <c r="D275" s="184" t="s">
        <v>78</v>
      </c>
      <c r="E275" s="184" t="s">
        <v>124</v>
      </c>
      <c r="F275" s="182">
        <v>45128</v>
      </c>
      <c r="G275" s="186" t="s">
        <v>94</v>
      </c>
      <c r="H275" s="184" t="s">
        <v>327</v>
      </c>
    </row>
    <row r="276" spans="1:20">
      <c r="A276" s="182">
        <v>45082</v>
      </c>
      <c r="B276" s="183">
        <v>0.5531018518518519</v>
      </c>
      <c r="C276" s="184" t="s">
        <v>73</v>
      </c>
      <c r="D276" s="184" t="s">
        <v>78</v>
      </c>
      <c r="E276" s="184" t="s">
        <v>89</v>
      </c>
      <c r="F276" s="182">
        <v>45121</v>
      </c>
      <c r="G276" s="186" t="s">
        <v>94</v>
      </c>
      <c r="H276" s="184" t="s">
        <v>288</v>
      </c>
    </row>
    <row r="277" spans="1:20">
      <c r="A277" s="182">
        <v>45082</v>
      </c>
      <c r="B277" s="183">
        <v>0.55693287037037031</v>
      </c>
      <c r="C277" s="184" t="s">
        <v>73</v>
      </c>
      <c r="D277" s="184" t="s">
        <v>68</v>
      </c>
      <c r="E277" s="184" t="s">
        <v>1060</v>
      </c>
      <c r="F277" s="182">
        <v>45230</v>
      </c>
      <c r="G277" s="186" t="s">
        <v>178</v>
      </c>
      <c r="H277" s="184" t="s">
        <v>209</v>
      </c>
      <c r="T277" s="184" t="s">
        <v>257</v>
      </c>
    </row>
    <row r="278" spans="1:20">
      <c r="A278" s="182">
        <v>45083</v>
      </c>
      <c r="B278" s="183">
        <v>0.43443287037037037</v>
      </c>
      <c r="C278" s="184" t="s">
        <v>73</v>
      </c>
      <c r="D278" s="184" t="s">
        <v>91</v>
      </c>
      <c r="E278" s="184" t="s">
        <v>45</v>
      </c>
      <c r="F278" s="182">
        <v>45114</v>
      </c>
      <c r="G278" s="186" t="s">
        <v>94</v>
      </c>
      <c r="H278" s="184" t="s">
        <v>229</v>
      </c>
    </row>
    <row r="279" spans="1:20">
      <c r="A279" s="182">
        <v>45083</v>
      </c>
      <c r="B279" s="183">
        <v>0.43466435185185182</v>
      </c>
      <c r="C279" s="184" t="s">
        <v>73</v>
      </c>
      <c r="D279" s="184" t="s">
        <v>91</v>
      </c>
      <c r="E279" s="184" t="s">
        <v>19</v>
      </c>
      <c r="F279" s="182">
        <v>45211</v>
      </c>
      <c r="G279" s="186" t="s">
        <v>70</v>
      </c>
      <c r="H279" s="184" t="s">
        <v>93</v>
      </c>
    </row>
    <row r="280" spans="1:20">
      <c r="A280" s="182">
        <v>45083</v>
      </c>
      <c r="B280" s="183">
        <v>0.4347569444444444</v>
      </c>
      <c r="C280" s="184" t="s">
        <v>73</v>
      </c>
      <c r="D280" s="184" t="s">
        <v>91</v>
      </c>
      <c r="E280" s="184" t="s">
        <v>19</v>
      </c>
      <c r="F280" s="182">
        <v>45211</v>
      </c>
      <c r="G280" s="186" t="s">
        <v>70</v>
      </c>
      <c r="H280" s="184" t="s">
        <v>92</v>
      </c>
    </row>
    <row r="281" spans="1:20">
      <c r="A281" s="182">
        <v>45083</v>
      </c>
      <c r="B281" s="183">
        <v>0.43506944444444445</v>
      </c>
      <c r="C281" s="184" t="s">
        <v>73</v>
      </c>
      <c r="D281" s="184" t="s">
        <v>78</v>
      </c>
      <c r="E281" s="184" t="s">
        <v>19</v>
      </c>
      <c r="F281" s="182">
        <v>45211</v>
      </c>
      <c r="G281" s="186" t="s">
        <v>70</v>
      </c>
      <c r="H281" s="184" t="s">
        <v>86</v>
      </c>
    </row>
    <row r="282" spans="1:20">
      <c r="A282" s="182">
        <v>45083</v>
      </c>
      <c r="B282" s="183">
        <v>0.56545138888888891</v>
      </c>
      <c r="C282" s="184" t="s">
        <v>73</v>
      </c>
      <c r="D282" s="184" t="s">
        <v>91</v>
      </c>
      <c r="E282" s="184" t="s">
        <v>96</v>
      </c>
      <c r="F282" s="182">
        <v>45118</v>
      </c>
      <c r="G282" s="186" t="s">
        <v>94</v>
      </c>
      <c r="H282" s="184" t="s">
        <v>227</v>
      </c>
    </row>
    <row r="283" spans="1:20">
      <c r="A283" s="182">
        <v>45083</v>
      </c>
      <c r="B283" s="183">
        <v>0.59756944444444449</v>
      </c>
      <c r="C283" s="184" t="s">
        <v>73</v>
      </c>
      <c r="D283" s="184" t="s">
        <v>68</v>
      </c>
      <c r="E283" s="184" t="s">
        <v>96</v>
      </c>
      <c r="F283" s="182">
        <v>45118</v>
      </c>
      <c r="G283" s="186" t="s">
        <v>99</v>
      </c>
      <c r="H283" s="184" t="s">
        <v>245</v>
      </c>
      <c r="T283" s="184" t="s">
        <v>409</v>
      </c>
    </row>
    <row r="284" spans="1:20">
      <c r="A284" s="182">
        <v>45083</v>
      </c>
      <c r="B284" s="183">
        <v>0.59931712962962969</v>
      </c>
      <c r="C284" s="184" t="s">
        <v>73</v>
      </c>
      <c r="D284" s="184" t="s">
        <v>91</v>
      </c>
      <c r="E284" s="184" t="s">
        <v>45</v>
      </c>
      <c r="F284" s="182">
        <v>45114</v>
      </c>
      <c r="G284" s="186" t="s">
        <v>94</v>
      </c>
      <c r="H284" s="184" t="s">
        <v>189</v>
      </c>
    </row>
    <row r="285" spans="1:20">
      <c r="A285" s="182">
        <v>45083</v>
      </c>
      <c r="B285" s="183">
        <v>0.60687499999999994</v>
      </c>
      <c r="C285" s="184" t="s">
        <v>73</v>
      </c>
      <c r="D285" s="184" t="s">
        <v>68</v>
      </c>
      <c r="E285" s="184" t="s">
        <v>85</v>
      </c>
      <c r="F285" s="182">
        <v>45133</v>
      </c>
      <c r="G285" s="186" t="s">
        <v>94</v>
      </c>
      <c r="H285" s="184" t="s">
        <v>87</v>
      </c>
      <c r="T285" s="184" t="s">
        <v>1086</v>
      </c>
    </row>
    <row r="286" spans="1:20">
      <c r="A286" s="182">
        <v>45084</v>
      </c>
      <c r="B286" s="183">
        <v>0.36747685185185186</v>
      </c>
      <c r="C286" s="184" t="s">
        <v>67</v>
      </c>
      <c r="D286" s="184" t="s">
        <v>68</v>
      </c>
      <c r="E286" s="184" t="s">
        <v>69</v>
      </c>
      <c r="F286" s="182">
        <v>45114</v>
      </c>
      <c r="G286" s="186" t="s">
        <v>94</v>
      </c>
      <c r="H286" s="184" t="s">
        <v>261</v>
      </c>
      <c r="T286" s="184" t="s">
        <v>161</v>
      </c>
    </row>
    <row r="287" spans="1:20">
      <c r="A287" s="182">
        <v>45085</v>
      </c>
      <c r="B287" s="183">
        <v>0.38091435185185185</v>
      </c>
      <c r="C287" s="184" t="s">
        <v>67</v>
      </c>
      <c r="D287" s="184" t="s">
        <v>68</v>
      </c>
      <c r="E287" s="184" t="s">
        <v>1060</v>
      </c>
      <c r="F287" s="182">
        <v>45230</v>
      </c>
      <c r="G287" s="186" t="s">
        <v>114</v>
      </c>
      <c r="H287" s="184" t="s">
        <v>213</v>
      </c>
      <c r="T287" s="184" t="s">
        <v>1087</v>
      </c>
    </row>
    <row r="288" spans="1:20">
      <c r="A288" s="182">
        <v>45085</v>
      </c>
      <c r="B288" s="183">
        <v>0.47232638888888889</v>
      </c>
      <c r="C288" s="184" t="s">
        <v>67</v>
      </c>
      <c r="D288" s="184" t="s">
        <v>78</v>
      </c>
      <c r="E288" s="184" t="s">
        <v>96</v>
      </c>
      <c r="F288" s="182">
        <v>45205</v>
      </c>
      <c r="G288" s="186" t="s">
        <v>114</v>
      </c>
      <c r="H288" s="184" t="s">
        <v>106</v>
      </c>
    </row>
    <row r="289" spans="1:20">
      <c r="A289" s="182">
        <v>45085</v>
      </c>
      <c r="B289" s="183">
        <v>0.58980324074074075</v>
      </c>
      <c r="C289" s="184" t="s">
        <v>67</v>
      </c>
      <c r="D289" s="184" t="s">
        <v>68</v>
      </c>
      <c r="E289" s="184" t="s">
        <v>69</v>
      </c>
      <c r="F289" s="182">
        <v>45114</v>
      </c>
      <c r="G289" s="186" t="s">
        <v>114</v>
      </c>
      <c r="H289" s="184" t="s">
        <v>256</v>
      </c>
      <c r="T289" s="184" t="s">
        <v>1088</v>
      </c>
    </row>
    <row r="290" spans="1:20">
      <c r="A290" s="182">
        <v>45085</v>
      </c>
      <c r="B290" s="183">
        <v>0.61092592592592598</v>
      </c>
      <c r="C290" s="184" t="s">
        <v>67</v>
      </c>
      <c r="D290" s="184" t="s">
        <v>68</v>
      </c>
      <c r="E290" s="184" t="s">
        <v>69</v>
      </c>
      <c r="F290" s="182">
        <v>45114</v>
      </c>
      <c r="G290" s="186" t="s">
        <v>115</v>
      </c>
      <c r="H290" s="184" t="s">
        <v>261</v>
      </c>
      <c r="T290" s="184" t="s">
        <v>1088</v>
      </c>
    </row>
    <row r="291" spans="1:20">
      <c r="A291" s="182">
        <v>45085</v>
      </c>
      <c r="B291" s="183">
        <v>0.61340277777777774</v>
      </c>
      <c r="C291" s="184" t="s">
        <v>67</v>
      </c>
      <c r="D291" s="184" t="s">
        <v>68</v>
      </c>
      <c r="E291" s="184" t="s">
        <v>1060</v>
      </c>
      <c r="F291" s="182">
        <v>45230</v>
      </c>
      <c r="G291" s="186" t="s">
        <v>112</v>
      </c>
      <c r="H291" s="184" t="s">
        <v>239</v>
      </c>
      <c r="T291" s="184" t="s">
        <v>1089</v>
      </c>
    </row>
    <row r="292" spans="1:20">
      <c r="A292" s="182">
        <v>45085</v>
      </c>
      <c r="B292" s="183">
        <v>0.70021990740740747</v>
      </c>
      <c r="C292" s="184" t="s">
        <v>67</v>
      </c>
      <c r="D292" s="184" t="s">
        <v>91</v>
      </c>
      <c r="E292" s="184" t="s">
        <v>96</v>
      </c>
      <c r="F292" s="182">
        <v>45118</v>
      </c>
      <c r="G292" s="186" t="s">
        <v>94</v>
      </c>
      <c r="H292" s="184" t="s">
        <v>285</v>
      </c>
    </row>
    <row r="293" spans="1:20">
      <c r="A293" s="182">
        <v>45086</v>
      </c>
      <c r="B293" s="183">
        <v>0.44733796296296297</v>
      </c>
      <c r="C293" s="184" t="s">
        <v>73</v>
      </c>
      <c r="D293" s="184" t="s">
        <v>68</v>
      </c>
      <c r="E293" s="184" t="s">
        <v>45</v>
      </c>
      <c r="F293" s="182">
        <v>45114</v>
      </c>
      <c r="G293" s="186" t="s">
        <v>94</v>
      </c>
      <c r="H293" s="184" t="s">
        <v>272</v>
      </c>
      <c r="T293" s="184" t="s">
        <v>257</v>
      </c>
    </row>
    <row r="294" spans="1:20">
      <c r="A294" s="182">
        <v>45086</v>
      </c>
      <c r="B294" s="183">
        <v>0.55873842592592593</v>
      </c>
      <c r="C294" s="184" t="s">
        <v>73</v>
      </c>
      <c r="D294" s="184" t="s">
        <v>68</v>
      </c>
      <c r="E294" s="184" t="s">
        <v>1060</v>
      </c>
      <c r="F294" s="182">
        <v>45230</v>
      </c>
      <c r="G294" s="186" t="s">
        <v>94</v>
      </c>
      <c r="H294" s="184" t="s">
        <v>241</v>
      </c>
      <c r="T294" s="184" t="s">
        <v>249</v>
      </c>
    </row>
    <row r="295" spans="1:20">
      <c r="A295" s="182">
        <v>45086</v>
      </c>
      <c r="B295" s="183">
        <v>0.7069212962962963</v>
      </c>
      <c r="C295" s="184" t="s">
        <v>73</v>
      </c>
      <c r="D295" s="184" t="s">
        <v>78</v>
      </c>
      <c r="E295" s="184" t="s">
        <v>45</v>
      </c>
      <c r="F295" s="182">
        <v>45114</v>
      </c>
      <c r="G295" s="186" t="s">
        <v>94</v>
      </c>
      <c r="H295" s="184" t="s">
        <v>267</v>
      </c>
    </row>
    <row r="296" spans="1:20">
      <c r="A296" s="182">
        <v>45089</v>
      </c>
      <c r="B296" s="183">
        <v>0.64028935185185187</v>
      </c>
      <c r="C296" s="184" t="s">
        <v>73</v>
      </c>
      <c r="D296" s="184" t="s">
        <v>68</v>
      </c>
      <c r="E296" s="184" t="s">
        <v>1060</v>
      </c>
      <c r="F296" s="182">
        <v>45230</v>
      </c>
      <c r="G296" s="186" t="s">
        <v>94</v>
      </c>
      <c r="H296" s="184" t="s">
        <v>245</v>
      </c>
      <c r="T296" s="184" t="s">
        <v>933</v>
      </c>
    </row>
    <row r="297" spans="1:20">
      <c r="A297" s="182">
        <v>45089</v>
      </c>
      <c r="B297" s="183">
        <v>0.64179398148148148</v>
      </c>
      <c r="C297" s="184" t="s">
        <v>73</v>
      </c>
      <c r="D297" s="184" t="s">
        <v>91</v>
      </c>
      <c r="E297" s="184" t="s">
        <v>69</v>
      </c>
      <c r="F297" s="182">
        <v>45114</v>
      </c>
      <c r="G297" s="186" t="s">
        <v>94</v>
      </c>
      <c r="H297" s="184" t="s">
        <v>295</v>
      </c>
    </row>
    <row r="298" spans="1:20">
      <c r="A298" s="182">
        <v>45090</v>
      </c>
      <c r="B298" s="183">
        <v>0.37452546296296302</v>
      </c>
      <c r="C298" s="184" t="s">
        <v>67</v>
      </c>
      <c r="D298" s="184" t="s">
        <v>68</v>
      </c>
      <c r="E298" s="184" t="s">
        <v>45</v>
      </c>
      <c r="F298" s="182">
        <v>45114</v>
      </c>
      <c r="G298" s="186" t="s">
        <v>94</v>
      </c>
      <c r="H298" s="184" t="s">
        <v>213</v>
      </c>
      <c r="T298" s="184" t="s">
        <v>257</v>
      </c>
    </row>
    <row r="299" spans="1:20">
      <c r="A299" s="182">
        <v>45090</v>
      </c>
      <c r="B299" s="183">
        <v>0.37556712962962963</v>
      </c>
      <c r="C299" s="184" t="s">
        <v>67</v>
      </c>
      <c r="D299" s="184" t="s">
        <v>68</v>
      </c>
      <c r="E299" s="184" t="s">
        <v>45</v>
      </c>
      <c r="F299" s="182">
        <v>45114</v>
      </c>
      <c r="G299" s="186" t="s">
        <v>114</v>
      </c>
      <c r="H299" s="184" t="s">
        <v>231</v>
      </c>
      <c r="T299" s="184" t="s">
        <v>582</v>
      </c>
    </row>
    <row r="300" spans="1:20">
      <c r="A300" s="182">
        <v>45090</v>
      </c>
      <c r="B300" s="183">
        <v>0.40620370370370368</v>
      </c>
      <c r="C300" s="184" t="s">
        <v>67</v>
      </c>
      <c r="D300" s="184" t="s">
        <v>68</v>
      </c>
      <c r="E300" s="184" t="s">
        <v>19</v>
      </c>
      <c r="F300" s="182">
        <v>45211</v>
      </c>
      <c r="G300" s="186" t="s">
        <v>94</v>
      </c>
      <c r="H300" s="184" t="s">
        <v>101</v>
      </c>
      <c r="T300" s="184" t="s">
        <v>1090</v>
      </c>
    </row>
    <row r="301" spans="1:20">
      <c r="A301" s="182">
        <v>45090</v>
      </c>
      <c r="B301" s="183">
        <v>0.41177083333333336</v>
      </c>
      <c r="C301" s="184" t="s">
        <v>67</v>
      </c>
      <c r="D301" s="184" t="s">
        <v>68</v>
      </c>
      <c r="E301" s="184" t="s">
        <v>1060</v>
      </c>
      <c r="F301" s="182">
        <v>45230</v>
      </c>
      <c r="G301" s="186" t="s">
        <v>94</v>
      </c>
      <c r="H301" s="184" t="s">
        <v>521</v>
      </c>
      <c r="T301" s="184" t="s">
        <v>257</v>
      </c>
    </row>
    <row r="302" spans="1:20">
      <c r="A302" s="182">
        <v>45090</v>
      </c>
      <c r="B302" s="183">
        <v>0.57283564814814814</v>
      </c>
      <c r="C302" s="184" t="s">
        <v>67</v>
      </c>
      <c r="D302" s="184" t="s">
        <v>68</v>
      </c>
      <c r="E302" s="184" t="s">
        <v>89</v>
      </c>
      <c r="F302" s="182">
        <v>45121</v>
      </c>
      <c r="G302" s="186" t="s">
        <v>114</v>
      </c>
      <c r="H302" s="184" t="s">
        <v>87</v>
      </c>
      <c r="T302" s="184" t="s">
        <v>118</v>
      </c>
    </row>
    <row r="303" spans="1:20">
      <c r="A303" s="182">
        <v>45092</v>
      </c>
      <c r="B303" s="183">
        <v>0.47040509259259261</v>
      </c>
      <c r="C303" s="184" t="s">
        <v>67</v>
      </c>
      <c r="D303" s="184" t="s">
        <v>68</v>
      </c>
      <c r="E303" s="184" t="s">
        <v>45</v>
      </c>
      <c r="F303" s="182">
        <v>45114</v>
      </c>
      <c r="G303" s="186" t="s">
        <v>114</v>
      </c>
      <c r="H303" s="184" t="s">
        <v>241</v>
      </c>
      <c r="T303" s="184" t="s">
        <v>234</v>
      </c>
    </row>
    <row r="304" spans="1:20">
      <c r="A304" s="182">
        <v>45092</v>
      </c>
      <c r="B304" s="183">
        <v>0.4800462962962963</v>
      </c>
      <c r="C304" s="184" t="s">
        <v>67</v>
      </c>
      <c r="D304" s="184" t="s">
        <v>68</v>
      </c>
      <c r="E304" s="184" t="s">
        <v>45</v>
      </c>
      <c r="F304" s="182">
        <v>45114</v>
      </c>
      <c r="G304" s="186" t="s">
        <v>115</v>
      </c>
      <c r="H304" s="184" t="s">
        <v>231</v>
      </c>
      <c r="T304" s="184" t="s">
        <v>1091</v>
      </c>
    </row>
    <row r="305" spans="1:20">
      <c r="A305" s="182">
        <v>45092</v>
      </c>
      <c r="B305" s="183">
        <v>0.68864583333333329</v>
      </c>
      <c r="C305" s="184" t="s">
        <v>67</v>
      </c>
      <c r="D305" s="184" t="s">
        <v>68</v>
      </c>
      <c r="E305" s="184" t="s">
        <v>69</v>
      </c>
      <c r="F305" s="182">
        <v>45114</v>
      </c>
      <c r="G305" s="186" t="s">
        <v>94</v>
      </c>
      <c r="H305" s="184" t="s">
        <v>260</v>
      </c>
      <c r="T305" s="184" t="s">
        <v>1092</v>
      </c>
    </row>
    <row r="306" spans="1:20">
      <c r="A306" s="182">
        <v>45092</v>
      </c>
      <c r="B306" s="183">
        <v>0.68974537037037031</v>
      </c>
      <c r="C306" s="184" t="s">
        <v>67</v>
      </c>
      <c r="D306" s="184" t="s">
        <v>68</v>
      </c>
      <c r="E306" s="184" t="s">
        <v>69</v>
      </c>
      <c r="F306" s="182">
        <v>45205</v>
      </c>
      <c r="G306" s="186" t="s">
        <v>70</v>
      </c>
      <c r="H306" s="184" t="s">
        <v>71</v>
      </c>
      <c r="T306" s="184" t="s">
        <v>1092</v>
      </c>
    </row>
    <row r="307" spans="1:20">
      <c r="A307" s="182">
        <v>45093</v>
      </c>
      <c r="B307" s="183">
        <v>0.56445601851851845</v>
      </c>
      <c r="C307" s="184" t="s">
        <v>73</v>
      </c>
      <c r="D307" s="184" t="s">
        <v>68</v>
      </c>
      <c r="E307" s="184" t="s">
        <v>1060</v>
      </c>
      <c r="F307" s="182">
        <v>45230</v>
      </c>
      <c r="G307" s="186" t="s">
        <v>94</v>
      </c>
      <c r="H307" s="184" t="s">
        <v>392</v>
      </c>
      <c r="T307" s="184" t="s">
        <v>787</v>
      </c>
    </row>
    <row r="308" spans="1:20">
      <c r="A308" s="182">
        <v>45096</v>
      </c>
      <c r="B308" s="183">
        <v>0.5653125</v>
      </c>
      <c r="C308" s="184" t="s">
        <v>67</v>
      </c>
      <c r="D308" s="184" t="s">
        <v>68</v>
      </c>
      <c r="E308" s="184" t="s">
        <v>45</v>
      </c>
      <c r="F308" s="182">
        <v>45114</v>
      </c>
      <c r="G308" s="186" t="s">
        <v>99</v>
      </c>
      <c r="H308" s="184" t="s">
        <v>225</v>
      </c>
      <c r="T308" s="184" t="s">
        <v>257</v>
      </c>
    </row>
    <row r="309" spans="1:20">
      <c r="A309" s="182">
        <v>45096</v>
      </c>
      <c r="B309" s="183">
        <v>0.56559027777777782</v>
      </c>
      <c r="C309" s="184" t="s">
        <v>67</v>
      </c>
      <c r="D309" s="184" t="s">
        <v>68</v>
      </c>
      <c r="E309" s="184" t="s">
        <v>45</v>
      </c>
      <c r="F309" s="182">
        <v>45247</v>
      </c>
      <c r="G309" s="186" t="s">
        <v>94</v>
      </c>
      <c r="H309" s="184" t="s">
        <v>76</v>
      </c>
      <c r="T309" s="184" t="s">
        <v>257</v>
      </c>
    </row>
    <row r="310" spans="1:20">
      <c r="A310" s="182">
        <v>45097</v>
      </c>
      <c r="B310" s="183">
        <v>0.41651620370370374</v>
      </c>
      <c r="C310" s="184" t="s">
        <v>67</v>
      </c>
      <c r="D310" s="184" t="s">
        <v>68</v>
      </c>
      <c r="E310" s="184" t="s">
        <v>1060</v>
      </c>
      <c r="F310" s="182">
        <v>45230</v>
      </c>
      <c r="G310" s="186" t="s">
        <v>94</v>
      </c>
      <c r="H310" s="184" t="s">
        <v>247</v>
      </c>
      <c r="T310" s="184" t="s">
        <v>1093</v>
      </c>
    </row>
    <row r="311" spans="1:20">
      <c r="A311" s="182">
        <v>45097</v>
      </c>
      <c r="B311" s="183">
        <v>0.68380787037037039</v>
      </c>
      <c r="C311" s="184" t="s">
        <v>67</v>
      </c>
      <c r="D311" s="184" t="s">
        <v>78</v>
      </c>
      <c r="E311" s="184" t="s">
        <v>96</v>
      </c>
      <c r="F311" s="182">
        <v>45236</v>
      </c>
      <c r="G311" s="186" t="s">
        <v>70</v>
      </c>
      <c r="H311" s="184" t="s">
        <v>86</v>
      </c>
    </row>
    <row r="312" spans="1:20">
      <c r="A312" s="182">
        <v>45097</v>
      </c>
      <c r="B312" s="183">
        <v>0.6839467592592593</v>
      </c>
      <c r="C312" s="184" t="s">
        <v>67</v>
      </c>
      <c r="D312" s="184" t="s">
        <v>78</v>
      </c>
      <c r="E312" s="184" t="s">
        <v>45</v>
      </c>
      <c r="F312" s="182">
        <v>45192</v>
      </c>
      <c r="G312" s="186" t="s">
        <v>70</v>
      </c>
      <c r="H312" s="184" t="s">
        <v>86</v>
      </c>
    </row>
    <row r="313" spans="1:20">
      <c r="A313" s="182">
        <v>45098</v>
      </c>
      <c r="B313" s="183">
        <v>0.45628472222222222</v>
      </c>
      <c r="C313" s="184" t="s">
        <v>67</v>
      </c>
      <c r="D313" s="184" t="s">
        <v>78</v>
      </c>
      <c r="E313" s="184" t="s">
        <v>45</v>
      </c>
      <c r="F313" s="182">
        <v>45192</v>
      </c>
      <c r="G313" s="186" t="s">
        <v>94</v>
      </c>
      <c r="H313" s="184" t="s">
        <v>107</v>
      </c>
    </row>
    <row r="314" spans="1:20">
      <c r="A314" s="182">
        <v>45098</v>
      </c>
      <c r="B314" s="183">
        <v>0.45646990740740739</v>
      </c>
      <c r="C314" s="184" t="s">
        <v>67</v>
      </c>
      <c r="D314" s="184" t="s">
        <v>78</v>
      </c>
      <c r="E314" s="184" t="s">
        <v>19</v>
      </c>
      <c r="F314" s="182">
        <v>45211</v>
      </c>
      <c r="G314" s="186" t="s">
        <v>94</v>
      </c>
      <c r="H314" s="184" t="s">
        <v>107</v>
      </c>
    </row>
    <row r="315" spans="1:20">
      <c r="A315" s="182">
        <v>45098</v>
      </c>
      <c r="B315" s="183">
        <v>0.56162037037037038</v>
      </c>
      <c r="C315" s="184" t="s">
        <v>67</v>
      </c>
      <c r="D315" s="184" t="s">
        <v>68</v>
      </c>
      <c r="E315" s="184" t="s">
        <v>45</v>
      </c>
      <c r="F315" s="182">
        <v>45114</v>
      </c>
      <c r="G315" s="186" t="s">
        <v>94</v>
      </c>
      <c r="H315" s="184" t="s">
        <v>231</v>
      </c>
      <c r="T315" s="184" t="s">
        <v>1094</v>
      </c>
    </row>
    <row r="316" spans="1:20">
      <c r="A316" s="182">
        <v>45098</v>
      </c>
      <c r="B316" s="183">
        <v>0.69896990740740739</v>
      </c>
      <c r="C316" s="184" t="s">
        <v>67</v>
      </c>
      <c r="D316" s="184" t="s">
        <v>68</v>
      </c>
      <c r="E316" s="184" t="s">
        <v>124</v>
      </c>
      <c r="F316" s="182">
        <v>45128</v>
      </c>
      <c r="G316" s="186" t="s">
        <v>94</v>
      </c>
      <c r="H316" s="184" t="s">
        <v>261</v>
      </c>
      <c r="T316" s="184" t="s">
        <v>1095</v>
      </c>
    </row>
    <row r="317" spans="1:20">
      <c r="A317" s="182">
        <v>45099</v>
      </c>
      <c r="B317" s="183">
        <v>0.38687500000000002</v>
      </c>
      <c r="C317" s="184" t="s">
        <v>67</v>
      </c>
      <c r="D317" s="184" t="s">
        <v>68</v>
      </c>
      <c r="E317" s="184" t="s">
        <v>96</v>
      </c>
      <c r="F317" s="182">
        <v>45118</v>
      </c>
      <c r="G317" s="186" t="s">
        <v>99</v>
      </c>
      <c r="H317" s="184" t="s">
        <v>241</v>
      </c>
      <c r="T317" s="184" t="s">
        <v>610</v>
      </c>
    </row>
    <row r="318" spans="1:20">
      <c r="A318" s="182">
        <v>45099</v>
      </c>
      <c r="B318" s="183">
        <v>0.38769675925925928</v>
      </c>
      <c r="C318" s="184" t="s">
        <v>67</v>
      </c>
      <c r="D318" s="184" t="s">
        <v>78</v>
      </c>
      <c r="E318" s="184" t="s">
        <v>96</v>
      </c>
      <c r="F318" s="182">
        <v>45118</v>
      </c>
      <c r="G318" s="186" t="s">
        <v>94</v>
      </c>
      <c r="H318" s="184" t="s">
        <v>80</v>
      </c>
    </row>
    <row r="319" spans="1:20">
      <c r="A319" s="182">
        <v>45099</v>
      </c>
      <c r="B319" s="183">
        <v>0.6133912037037037</v>
      </c>
      <c r="C319" s="184" t="s">
        <v>67</v>
      </c>
      <c r="D319" s="184" t="s">
        <v>78</v>
      </c>
      <c r="E319" s="184" t="s">
        <v>45</v>
      </c>
      <c r="F319" s="182">
        <v>45114</v>
      </c>
      <c r="G319" s="186" t="s">
        <v>94</v>
      </c>
      <c r="H319" s="184" t="s">
        <v>327</v>
      </c>
    </row>
    <row r="320" spans="1:20">
      <c r="A320" s="182">
        <v>45103</v>
      </c>
      <c r="B320" s="183">
        <v>0.39283564814814814</v>
      </c>
      <c r="C320" s="184" t="s">
        <v>67</v>
      </c>
      <c r="D320" s="184" t="s">
        <v>68</v>
      </c>
      <c r="E320" s="184" t="s">
        <v>96</v>
      </c>
      <c r="F320" s="182">
        <v>45118</v>
      </c>
      <c r="G320" s="186" t="s">
        <v>99</v>
      </c>
      <c r="H320" s="184" t="s">
        <v>239</v>
      </c>
      <c r="T320" s="184" t="s">
        <v>161</v>
      </c>
    </row>
    <row r="321" spans="1:20">
      <c r="A321" s="182">
        <v>45103</v>
      </c>
      <c r="B321" s="183">
        <v>0.56225694444444441</v>
      </c>
      <c r="C321" s="184" t="s">
        <v>67</v>
      </c>
      <c r="D321" s="184" t="s">
        <v>68</v>
      </c>
      <c r="E321" s="184" t="s">
        <v>96</v>
      </c>
      <c r="F321" s="182">
        <v>45118</v>
      </c>
      <c r="G321" s="186" t="s">
        <v>94</v>
      </c>
      <c r="H321" s="184" t="s">
        <v>241</v>
      </c>
      <c r="T321" s="184" t="s">
        <v>1096</v>
      </c>
    </row>
    <row r="322" spans="1:20">
      <c r="A322" s="182">
        <v>45103</v>
      </c>
      <c r="B322" s="183">
        <v>0.58209490740740744</v>
      </c>
      <c r="C322" s="184" t="s">
        <v>67</v>
      </c>
      <c r="D322" s="184" t="s">
        <v>78</v>
      </c>
      <c r="E322" s="184" t="s">
        <v>1060</v>
      </c>
      <c r="F322" s="182">
        <v>45230</v>
      </c>
      <c r="G322" s="186" t="s">
        <v>94</v>
      </c>
      <c r="H322" s="184" t="s">
        <v>113</v>
      </c>
    </row>
    <row r="323" spans="1:20">
      <c r="A323" s="182">
        <v>45104</v>
      </c>
      <c r="B323" s="183">
        <v>0.41803240740740738</v>
      </c>
      <c r="C323" s="184" t="s">
        <v>73</v>
      </c>
      <c r="D323" s="184" t="s">
        <v>68</v>
      </c>
      <c r="E323" s="184" t="s">
        <v>96</v>
      </c>
      <c r="F323" s="182">
        <v>45236</v>
      </c>
      <c r="G323" s="186" t="s">
        <v>114</v>
      </c>
      <c r="H323" s="184" t="s">
        <v>87</v>
      </c>
      <c r="T323" s="275" t="s">
        <v>478</v>
      </c>
    </row>
    <row r="324" spans="1:20">
      <c r="A324" s="182">
        <v>45104</v>
      </c>
      <c r="B324" s="183">
        <v>0.6555671296296296</v>
      </c>
      <c r="C324" s="184" t="s">
        <v>73</v>
      </c>
      <c r="D324" s="184" t="s">
        <v>68</v>
      </c>
      <c r="E324" s="184" t="s">
        <v>96</v>
      </c>
      <c r="F324" s="182">
        <v>45118</v>
      </c>
      <c r="G324" s="186" t="s">
        <v>99</v>
      </c>
      <c r="H324" s="184" t="s">
        <v>239</v>
      </c>
      <c r="T324" s="184" t="s">
        <v>459</v>
      </c>
    </row>
    <row r="325" spans="1:20">
      <c r="A325" s="182">
        <v>45104</v>
      </c>
      <c r="B325" s="183">
        <v>0.66553240740740738</v>
      </c>
      <c r="C325" s="184" t="s">
        <v>73</v>
      </c>
      <c r="D325" s="184" t="s">
        <v>68</v>
      </c>
      <c r="E325" s="184" t="s">
        <v>124</v>
      </c>
      <c r="F325" s="182">
        <v>45128</v>
      </c>
      <c r="G325" s="186" t="s">
        <v>94</v>
      </c>
      <c r="H325" s="184" t="s">
        <v>256</v>
      </c>
      <c r="T325" s="184" t="s">
        <v>1097</v>
      </c>
    </row>
    <row r="326" spans="1:20">
      <c r="A326" s="182">
        <v>45104</v>
      </c>
      <c r="B326" s="183">
        <v>0.66787037037037045</v>
      </c>
      <c r="C326" s="184" t="s">
        <v>73</v>
      </c>
      <c r="D326" s="184" t="s">
        <v>68</v>
      </c>
      <c r="E326" s="184" t="s">
        <v>96</v>
      </c>
      <c r="F326" s="182">
        <v>45118</v>
      </c>
      <c r="G326" s="186" t="s">
        <v>94</v>
      </c>
      <c r="H326" s="184" t="s">
        <v>241</v>
      </c>
      <c r="T326" s="184" t="s">
        <v>1098</v>
      </c>
    </row>
    <row r="327" spans="1:20">
      <c r="A327" s="182">
        <v>45104</v>
      </c>
      <c r="B327" s="183">
        <v>0.67692129629629638</v>
      </c>
      <c r="C327" s="184" t="s">
        <v>73</v>
      </c>
      <c r="D327" s="184" t="s">
        <v>78</v>
      </c>
      <c r="E327" s="184" t="s">
        <v>89</v>
      </c>
      <c r="F327" s="182">
        <v>45121</v>
      </c>
      <c r="G327" s="186" t="s">
        <v>94</v>
      </c>
      <c r="H327" s="184" t="s">
        <v>267</v>
      </c>
    </row>
    <row r="328" spans="1:20">
      <c r="A328" s="182">
        <v>45104</v>
      </c>
      <c r="B328" s="183">
        <v>0.67795138888888884</v>
      </c>
      <c r="C328" s="184" t="s">
        <v>73</v>
      </c>
      <c r="D328" s="184" t="s">
        <v>91</v>
      </c>
      <c r="E328" s="184" t="s">
        <v>45</v>
      </c>
      <c r="F328" s="182">
        <v>45114</v>
      </c>
      <c r="G328" s="186" t="s">
        <v>114</v>
      </c>
      <c r="H328" s="184" t="s">
        <v>193</v>
      </c>
    </row>
    <row r="329" spans="1:20">
      <c r="A329" s="182">
        <v>45104</v>
      </c>
      <c r="B329" s="183">
        <v>0.68297453703703714</v>
      </c>
      <c r="C329" s="184" t="s">
        <v>73</v>
      </c>
      <c r="D329" s="184" t="s">
        <v>68</v>
      </c>
      <c r="E329" s="184" t="s">
        <v>124</v>
      </c>
      <c r="F329" s="182">
        <v>45128</v>
      </c>
      <c r="G329" s="186" t="s">
        <v>99</v>
      </c>
      <c r="H329" s="184" t="s">
        <v>260</v>
      </c>
      <c r="T329" s="184" t="s">
        <v>1097</v>
      </c>
    </row>
    <row r="330" spans="1:20">
      <c r="A330" s="182">
        <v>45105</v>
      </c>
      <c r="B330" s="183">
        <v>0.47956018518518517</v>
      </c>
      <c r="C330" s="184" t="s">
        <v>67</v>
      </c>
      <c r="D330" s="184" t="s">
        <v>78</v>
      </c>
      <c r="E330" s="184" t="s">
        <v>124</v>
      </c>
      <c r="F330" s="182">
        <v>45128</v>
      </c>
      <c r="G330" s="186" t="s">
        <v>94</v>
      </c>
      <c r="H330" s="184" t="s">
        <v>82</v>
      </c>
    </row>
    <row r="331" spans="1:20">
      <c r="A331" s="182">
        <v>45105</v>
      </c>
      <c r="B331" s="183">
        <v>0.68184027777777778</v>
      </c>
      <c r="C331" s="184" t="s">
        <v>67</v>
      </c>
      <c r="D331" s="184" t="s">
        <v>68</v>
      </c>
      <c r="E331" s="184" t="s">
        <v>96</v>
      </c>
      <c r="F331" s="182">
        <v>45118</v>
      </c>
      <c r="G331" s="186" t="s">
        <v>115</v>
      </c>
      <c r="H331" s="184" t="s">
        <v>231</v>
      </c>
      <c r="T331" s="184" t="s">
        <v>1099</v>
      </c>
    </row>
    <row r="332" spans="1:20">
      <c r="A332" s="182">
        <v>45106</v>
      </c>
      <c r="B332" s="183">
        <v>0.40621527777777783</v>
      </c>
      <c r="C332" s="184" t="s">
        <v>73</v>
      </c>
      <c r="D332" s="184" t="s">
        <v>68</v>
      </c>
      <c r="E332" s="184" t="s">
        <v>96</v>
      </c>
      <c r="F332" s="182">
        <v>45118</v>
      </c>
      <c r="G332" s="186" t="s">
        <v>94</v>
      </c>
      <c r="H332" s="184" t="s">
        <v>239</v>
      </c>
      <c r="T332" s="184" t="s">
        <v>118</v>
      </c>
    </row>
    <row r="333" spans="1:20">
      <c r="A333" s="182">
        <v>45106</v>
      </c>
      <c r="B333" s="183">
        <v>0.47797453703703702</v>
      </c>
      <c r="C333" s="184" t="s">
        <v>73</v>
      </c>
      <c r="D333" s="184" t="s">
        <v>68</v>
      </c>
      <c r="E333" s="184" t="s">
        <v>1060</v>
      </c>
      <c r="F333" s="182">
        <v>45230</v>
      </c>
      <c r="G333" s="186" t="s">
        <v>94</v>
      </c>
      <c r="H333" s="184" t="s">
        <v>237</v>
      </c>
      <c r="T333" s="184" t="s">
        <v>456</v>
      </c>
    </row>
    <row r="334" spans="1:20">
      <c r="A334" s="182">
        <v>45106</v>
      </c>
      <c r="B334" s="183">
        <v>0.48238425925925926</v>
      </c>
      <c r="C334" s="184" t="s">
        <v>73</v>
      </c>
      <c r="D334" s="184" t="s">
        <v>91</v>
      </c>
      <c r="E334" s="184" t="s">
        <v>85</v>
      </c>
      <c r="F334" s="182">
        <v>45133</v>
      </c>
      <c r="G334" s="186" t="s">
        <v>114</v>
      </c>
      <c r="H334" s="184" t="s">
        <v>189</v>
      </c>
    </row>
    <row r="335" spans="1:20">
      <c r="A335" s="182">
        <v>45107</v>
      </c>
      <c r="B335" s="183">
        <v>0.41392361111111109</v>
      </c>
      <c r="C335" s="184" t="s">
        <v>67</v>
      </c>
      <c r="D335" s="184" t="s">
        <v>78</v>
      </c>
      <c r="E335" s="184" t="s">
        <v>96</v>
      </c>
      <c r="F335" s="182">
        <v>45118</v>
      </c>
      <c r="G335" s="186" t="s">
        <v>99</v>
      </c>
      <c r="H335" s="184" t="s">
        <v>82</v>
      </c>
    </row>
    <row r="336" spans="1:20">
      <c r="A336" s="182">
        <v>45107</v>
      </c>
      <c r="B336" s="183">
        <v>0.6570138888888889</v>
      </c>
      <c r="C336" s="184" t="s">
        <v>73</v>
      </c>
      <c r="D336" s="184" t="s">
        <v>68</v>
      </c>
      <c r="E336" s="184" t="s">
        <v>124</v>
      </c>
      <c r="F336" s="182">
        <v>45128</v>
      </c>
      <c r="G336" s="186" t="s">
        <v>99</v>
      </c>
      <c r="H336" s="184" t="s">
        <v>261</v>
      </c>
      <c r="T336" s="184" t="s">
        <v>1100</v>
      </c>
    </row>
    <row r="337" spans="1:20">
      <c r="A337" s="182">
        <v>45110</v>
      </c>
      <c r="B337" s="183">
        <v>0.4185532407407408</v>
      </c>
      <c r="C337" s="184" t="s">
        <v>73</v>
      </c>
      <c r="D337" s="184" t="s">
        <v>68</v>
      </c>
      <c r="E337" s="184" t="s">
        <v>96</v>
      </c>
      <c r="F337" s="182">
        <v>45118</v>
      </c>
      <c r="G337" s="186" t="s">
        <v>94</v>
      </c>
      <c r="H337" s="184" t="s">
        <v>241</v>
      </c>
      <c r="T337" s="184" t="s">
        <v>1101</v>
      </c>
    </row>
    <row r="338" spans="1:20">
      <c r="A338" s="182">
        <v>45110</v>
      </c>
      <c r="B338" s="183">
        <v>0.48543981481481485</v>
      </c>
      <c r="C338" s="184" t="s">
        <v>67</v>
      </c>
      <c r="D338" s="184" t="s">
        <v>68</v>
      </c>
      <c r="E338" s="184" t="s">
        <v>96</v>
      </c>
      <c r="F338" s="182">
        <v>45118</v>
      </c>
      <c r="G338" s="186" t="s">
        <v>94</v>
      </c>
      <c r="H338" s="184" t="s">
        <v>245</v>
      </c>
      <c r="T338" s="184" t="s">
        <v>492</v>
      </c>
    </row>
    <row r="339" spans="1:20">
      <c r="A339" s="182">
        <v>45110</v>
      </c>
      <c r="B339" s="183">
        <v>0.71373842592592596</v>
      </c>
      <c r="C339" s="184" t="s">
        <v>67</v>
      </c>
      <c r="D339" s="184" t="s">
        <v>68</v>
      </c>
      <c r="E339" s="184" t="s">
        <v>69</v>
      </c>
      <c r="F339" s="182">
        <v>45114</v>
      </c>
      <c r="G339" s="186" t="s">
        <v>99</v>
      </c>
      <c r="H339" s="184" t="s">
        <v>261</v>
      </c>
      <c r="T339" s="184" t="s">
        <v>1102</v>
      </c>
    </row>
    <row r="340" spans="1:20">
      <c r="A340" s="182">
        <v>45110</v>
      </c>
      <c r="B340" s="183">
        <v>0.71436342592592583</v>
      </c>
      <c r="C340" s="184" t="s">
        <v>67</v>
      </c>
      <c r="D340" s="184" t="s">
        <v>68</v>
      </c>
      <c r="E340" s="184" t="s">
        <v>69</v>
      </c>
      <c r="F340" s="182">
        <v>45205</v>
      </c>
      <c r="G340" s="186" t="s">
        <v>94</v>
      </c>
      <c r="H340" s="184" t="s">
        <v>76</v>
      </c>
      <c r="T340" s="184" t="s">
        <v>1103</v>
      </c>
    </row>
    <row r="341" spans="1:20">
      <c r="A341" s="182">
        <v>45111</v>
      </c>
      <c r="B341" s="183">
        <v>0.58334490740740741</v>
      </c>
      <c r="C341" s="184" t="s">
        <v>67</v>
      </c>
      <c r="D341" s="184" t="s">
        <v>68</v>
      </c>
      <c r="E341" s="184" t="s">
        <v>89</v>
      </c>
      <c r="F341" s="182">
        <v>45121</v>
      </c>
      <c r="G341" s="186" t="s">
        <v>94</v>
      </c>
      <c r="H341" s="184" t="s">
        <v>101</v>
      </c>
      <c r="T341" s="184" t="s">
        <v>482</v>
      </c>
    </row>
    <row r="342" spans="1:20" ht="12.75" customHeight="1">
      <c r="A342" s="182">
        <v>45111</v>
      </c>
      <c r="B342" s="183">
        <v>0.70384259259259263</v>
      </c>
      <c r="C342" s="184" t="s">
        <v>67</v>
      </c>
      <c r="D342" s="184" t="s">
        <v>68</v>
      </c>
      <c r="E342" s="184" t="s">
        <v>1060</v>
      </c>
      <c r="F342" s="182">
        <v>45230</v>
      </c>
      <c r="G342" s="186" t="s">
        <v>94</v>
      </c>
      <c r="H342" s="184" t="s">
        <v>243</v>
      </c>
      <c r="T342" s="184" t="s">
        <v>1104</v>
      </c>
    </row>
    <row r="343" spans="1:20">
      <c r="A343" s="182">
        <v>45112</v>
      </c>
      <c r="B343" s="183">
        <v>0.4394675925925926</v>
      </c>
      <c r="C343" s="184" t="s">
        <v>73</v>
      </c>
      <c r="D343" s="184" t="s">
        <v>68</v>
      </c>
      <c r="E343" s="184" t="s">
        <v>124</v>
      </c>
      <c r="F343" s="182">
        <v>45128</v>
      </c>
      <c r="G343" s="186" t="s">
        <v>99</v>
      </c>
      <c r="H343" s="184" t="s">
        <v>273</v>
      </c>
      <c r="T343" s="184" t="s">
        <v>854</v>
      </c>
    </row>
    <row r="344" spans="1:20">
      <c r="A344" s="182">
        <v>45112</v>
      </c>
      <c r="B344" s="183">
        <v>0.59987268518518522</v>
      </c>
      <c r="C344" s="184" t="s">
        <v>73</v>
      </c>
      <c r="D344" s="184" t="s">
        <v>78</v>
      </c>
      <c r="E344" s="184" t="s">
        <v>89</v>
      </c>
      <c r="F344" s="182">
        <v>45121</v>
      </c>
      <c r="G344" s="186" t="s">
        <v>94</v>
      </c>
      <c r="H344" s="184" t="s">
        <v>327</v>
      </c>
    </row>
    <row r="345" spans="1:20">
      <c r="A345" s="182">
        <v>45112</v>
      </c>
      <c r="B345" s="183">
        <v>0.60151620370370373</v>
      </c>
      <c r="C345" s="184" t="s">
        <v>73</v>
      </c>
      <c r="D345" s="184" t="s">
        <v>68</v>
      </c>
      <c r="E345" s="184" t="s">
        <v>124</v>
      </c>
      <c r="F345" s="182">
        <v>45128</v>
      </c>
      <c r="G345" s="186" t="s">
        <v>94</v>
      </c>
      <c r="H345" s="184" t="s">
        <v>261</v>
      </c>
      <c r="T345" s="184" t="s">
        <v>847</v>
      </c>
    </row>
    <row r="346" spans="1:20">
      <c r="A346" s="182">
        <v>45113</v>
      </c>
      <c r="B346" s="183">
        <v>0.54412037037037042</v>
      </c>
      <c r="C346" s="184" t="s">
        <v>67</v>
      </c>
      <c r="D346" s="184" t="s">
        <v>68</v>
      </c>
      <c r="E346" s="184" t="s">
        <v>19</v>
      </c>
      <c r="F346" s="182">
        <v>45211</v>
      </c>
      <c r="G346" s="186" t="s">
        <v>114</v>
      </c>
      <c r="H346" s="184" t="s">
        <v>117</v>
      </c>
      <c r="T346" s="184" t="s">
        <v>343</v>
      </c>
    </row>
    <row r="347" spans="1:20">
      <c r="A347" s="182">
        <v>45113</v>
      </c>
      <c r="B347" s="183">
        <v>0.54494212962962962</v>
      </c>
      <c r="C347" s="184" t="s">
        <v>67</v>
      </c>
      <c r="D347" s="184" t="s">
        <v>68</v>
      </c>
      <c r="E347" s="184" t="s">
        <v>45</v>
      </c>
      <c r="F347" s="182">
        <v>45247</v>
      </c>
      <c r="G347" s="186" t="s">
        <v>114</v>
      </c>
      <c r="H347" s="184" t="s">
        <v>101</v>
      </c>
      <c r="T347" s="184" t="s">
        <v>343</v>
      </c>
    </row>
    <row r="348" spans="1:20">
      <c r="A348" s="182">
        <v>45114</v>
      </c>
      <c r="B348" s="183">
        <v>0.46711805555555558</v>
      </c>
      <c r="C348" s="184" t="s">
        <v>73</v>
      </c>
      <c r="D348" s="184" t="s">
        <v>91</v>
      </c>
      <c r="E348" s="184" t="s">
        <v>85</v>
      </c>
      <c r="F348" s="182">
        <v>45133</v>
      </c>
      <c r="G348" s="186" t="s">
        <v>99</v>
      </c>
      <c r="H348" s="184" t="s">
        <v>229</v>
      </c>
    </row>
    <row r="349" spans="1:20">
      <c r="A349" s="182">
        <v>45114</v>
      </c>
      <c r="B349" s="183">
        <v>0.61137731481481483</v>
      </c>
      <c r="C349" s="184" t="s">
        <v>73</v>
      </c>
      <c r="D349" s="184" t="s">
        <v>78</v>
      </c>
      <c r="E349" s="184" t="s">
        <v>89</v>
      </c>
      <c r="F349" s="182">
        <v>45121</v>
      </c>
      <c r="G349" s="186" t="s">
        <v>99</v>
      </c>
      <c r="H349" s="184" t="s">
        <v>267</v>
      </c>
    </row>
    <row r="350" spans="1:20">
      <c r="A350" s="182">
        <v>45117</v>
      </c>
      <c r="B350" s="183">
        <v>0.38343750000000004</v>
      </c>
      <c r="C350" s="184" t="s">
        <v>67</v>
      </c>
      <c r="D350" s="184" t="s">
        <v>68</v>
      </c>
      <c r="E350" s="184" t="s">
        <v>96</v>
      </c>
      <c r="F350" s="182">
        <v>45205</v>
      </c>
      <c r="G350" s="186" t="s">
        <v>70</v>
      </c>
      <c r="H350" s="184" t="s">
        <v>71</v>
      </c>
      <c r="T350" s="184" t="s">
        <v>1106</v>
      </c>
    </row>
    <row r="351" spans="1:20">
      <c r="A351" s="182">
        <v>45117</v>
      </c>
      <c r="B351" s="183">
        <v>0.39530092592592592</v>
      </c>
      <c r="C351" s="184" t="s">
        <v>67</v>
      </c>
      <c r="D351" s="184" t="s">
        <v>78</v>
      </c>
      <c r="E351" s="184" t="s">
        <v>45</v>
      </c>
      <c r="F351" s="182">
        <v>45114</v>
      </c>
      <c r="G351" s="186" t="s">
        <v>99</v>
      </c>
      <c r="H351" s="184" t="s">
        <v>267</v>
      </c>
    </row>
    <row r="352" spans="1:20">
      <c r="A352" s="182">
        <v>45117</v>
      </c>
      <c r="B352" s="183">
        <v>0.39545138888888887</v>
      </c>
      <c r="C352" s="184" t="s">
        <v>67</v>
      </c>
      <c r="D352" s="184" t="s">
        <v>78</v>
      </c>
      <c r="E352" s="184" t="s">
        <v>45</v>
      </c>
      <c r="F352" s="182">
        <v>45192</v>
      </c>
      <c r="G352" s="186" t="s">
        <v>94</v>
      </c>
      <c r="H352" s="184" t="s">
        <v>106</v>
      </c>
    </row>
    <row r="353" spans="1:20">
      <c r="A353" s="182">
        <v>45118</v>
      </c>
      <c r="B353" s="183">
        <v>0.42391203703703706</v>
      </c>
      <c r="C353" s="184" t="s">
        <v>67</v>
      </c>
      <c r="D353" s="184" t="s">
        <v>68</v>
      </c>
      <c r="E353" s="184" t="s">
        <v>45</v>
      </c>
      <c r="F353" s="182">
        <v>45247</v>
      </c>
      <c r="G353" s="186" t="s">
        <v>94</v>
      </c>
      <c r="H353" s="184" t="s">
        <v>103</v>
      </c>
      <c r="T353" s="184" t="s">
        <v>1105</v>
      </c>
    </row>
    <row r="354" spans="1:20">
      <c r="A354" s="182">
        <v>45118</v>
      </c>
      <c r="B354" s="183">
        <v>0.50009259259259264</v>
      </c>
      <c r="C354" s="184" t="s">
        <v>594</v>
      </c>
      <c r="D354" s="184" t="s">
        <v>595</v>
      </c>
      <c r="E354" s="184" t="s">
        <v>596</v>
      </c>
      <c r="F354" s="182">
        <v>45128</v>
      </c>
      <c r="G354" s="186" t="s">
        <v>780</v>
      </c>
      <c r="H354" s="184" t="s">
        <v>1107</v>
      </c>
      <c r="T354" s="184" t="s">
        <v>1108</v>
      </c>
    </row>
    <row r="355" spans="1:20">
      <c r="A355" s="182">
        <v>45118</v>
      </c>
      <c r="B355" s="183">
        <v>0.6175694444444445</v>
      </c>
      <c r="C355" s="184" t="s">
        <v>73</v>
      </c>
      <c r="D355" s="184" t="s">
        <v>68</v>
      </c>
      <c r="E355" s="184" t="s">
        <v>124</v>
      </c>
      <c r="F355" s="182">
        <v>45128</v>
      </c>
      <c r="G355" s="186" t="s">
        <v>94</v>
      </c>
      <c r="H355" s="184" t="s">
        <v>261</v>
      </c>
      <c r="T355" s="184" t="s">
        <v>161</v>
      </c>
    </row>
    <row r="356" spans="1:20">
      <c r="A356" s="182">
        <v>45118</v>
      </c>
      <c r="B356" s="183">
        <v>0.69262731481481488</v>
      </c>
      <c r="C356" s="184" t="s">
        <v>73</v>
      </c>
      <c r="D356" s="184" t="s">
        <v>68</v>
      </c>
      <c r="E356" s="184" t="s">
        <v>69</v>
      </c>
      <c r="F356" s="182">
        <v>45205</v>
      </c>
      <c r="G356" s="186" t="s">
        <v>94</v>
      </c>
      <c r="H356" s="184" t="s">
        <v>87</v>
      </c>
      <c r="T356" s="184" t="s">
        <v>1109</v>
      </c>
    </row>
    <row r="357" spans="1:20">
      <c r="A357" s="182">
        <v>45119</v>
      </c>
      <c r="B357" s="183">
        <v>0.47076388888888893</v>
      </c>
      <c r="C357" s="184" t="s">
        <v>67</v>
      </c>
      <c r="D357" s="184" t="s">
        <v>91</v>
      </c>
      <c r="E357" s="184" t="s">
        <v>124</v>
      </c>
      <c r="F357" s="182">
        <v>45128</v>
      </c>
      <c r="G357" s="186" t="s">
        <v>99</v>
      </c>
      <c r="H357" s="184" t="s">
        <v>120</v>
      </c>
    </row>
    <row r="358" spans="1:20">
      <c r="A358" s="182">
        <v>45119</v>
      </c>
      <c r="B358" s="183">
        <v>0.70331018518518518</v>
      </c>
      <c r="C358" s="184" t="s">
        <v>67</v>
      </c>
      <c r="D358" s="184" t="s">
        <v>78</v>
      </c>
      <c r="E358" s="184" t="s">
        <v>45</v>
      </c>
      <c r="F358" s="182">
        <v>45192</v>
      </c>
      <c r="G358" s="186" t="s">
        <v>94</v>
      </c>
      <c r="H358" s="184" t="s">
        <v>106</v>
      </c>
    </row>
    <row r="359" spans="1:20">
      <c r="A359" s="182">
        <v>45125</v>
      </c>
      <c r="B359" s="183">
        <v>0.39253472222222219</v>
      </c>
      <c r="C359" s="184" t="s">
        <v>73</v>
      </c>
      <c r="D359" s="184" t="s">
        <v>68</v>
      </c>
      <c r="E359" s="184" t="s">
        <v>124</v>
      </c>
      <c r="F359" s="182">
        <v>45252</v>
      </c>
      <c r="G359" s="186" t="s">
        <v>114</v>
      </c>
      <c r="H359" s="184" t="s">
        <v>1113</v>
      </c>
      <c r="T359" s="184" t="s">
        <v>1111</v>
      </c>
    </row>
    <row r="360" spans="1:20">
      <c r="A360" s="182">
        <v>45125</v>
      </c>
      <c r="B360" s="183">
        <v>0.58315972222222223</v>
      </c>
      <c r="C360" s="184" t="s">
        <v>73</v>
      </c>
      <c r="D360" s="184" t="s">
        <v>68</v>
      </c>
      <c r="E360" s="184" t="s">
        <v>1060</v>
      </c>
      <c r="F360" s="182">
        <v>45279</v>
      </c>
      <c r="G360" s="186" t="s">
        <v>75</v>
      </c>
      <c r="H360" s="184" t="s">
        <v>76</v>
      </c>
      <c r="T360" s="184" t="s">
        <v>1112</v>
      </c>
    </row>
    <row r="361" spans="1:20">
      <c r="A361" s="182">
        <v>45126</v>
      </c>
      <c r="B361" s="183">
        <v>0.4033680555555556</v>
      </c>
      <c r="C361" s="184" t="s">
        <v>73</v>
      </c>
      <c r="D361" s="184" t="s">
        <v>91</v>
      </c>
      <c r="E361" s="184" t="s">
        <v>1060</v>
      </c>
      <c r="F361" s="182">
        <v>45279</v>
      </c>
      <c r="G361" s="186" t="s">
        <v>146</v>
      </c>
      <c r="H361" s="184" t="s">
        <v>1114</v>
      </c>
    </row>
    <row r="362" spans="1:20">
      <c r="A362" s="182">
        <v>45126</v>
      </c>
      <c r="B362" s="183">
        <v>0.56603009259259263</v>
      </c>
      <c r="C362" s="184" t="s">
        <v>73</v>
      </c>
      <c r="D362" s="184" t="s">
        <v>78</v>
      </c>
      <c r="E362" s="184" t="s">
        <v>1060</v>
      </c>
      <c r="F362" s="182">
        <v>45279</v>
      </c>
      <c r="G362" s="186" t="s">
        <v>70</v>
      </c>
      <c r="H362" s="184" t="s">
        <v>86</v>
      </c>
    </row>
    <row r="363" spans="1:20">
      <c r="A363" s="182">
        <v>45126</v>
      </c>
      <c r="B363" s="183">
        <v>0.63809027777777783</v>
      </c>
      <c r="C363" s="184" t="s">
        <v>73</v>
      </c>
      <c r="D363" s="184" t="s">
        <v>68</v>
      </c>
      <c r="E363" s="184" t="s">
        <v>69</v>
      </c>
      <c r="F363" s="182">
        <v>45205</v>
      </c>
      <c r="G363" s="186" t="s">
        <v>114</v>
      </c>
      <c r="H363" s="184" t="s">
        <v>103</v>
      </c>
      <c r="T363" s="184" t="s">
        <v>1088</v>
      </c>
    </row>
    <row r="364" spans="1:20">
      <c r="A364" s="182">
        <v>45127</v>
      </c>
      <c r="B364" s="183">
        <v>0.38412037037037039</v>
      </c>
      <c r="C364" s="184" t="s">
        <v>67</v>
      </c>
      <c r="D364" s="184" t="s">
        <v>78</v>
      </c>
      <c r="E364" s="184" t="s">
        <v>1060</v>
      </c>
      <c r="F364" s="182">
        <v>45279</v>
      </c>
      <c r="G364" s="186" t="s">
        <v>114</v>
      </c>
      <c r="H364" s="184" t="s">
        <v>106</v>
      </c>
    </row>
    <row r="365" spans="1:20">
      <c r="A365" s="182">
        <v>45127</v>
      </c>
      <c r="B365" s="183">
        <v>0.38421296296296298</v>
      </c>
      <c r="C365" s="184" t="s">
        <v>67</v>
      </c>
      <c r="D365" s="184" t="s">
        <v>78</v>
      </c>
      <c r="E365" s="184" t="s">
        <v>1060</v>
      </c>
      <c r="F365" s="182">
        <v>45279</v>
      </c>
      <c r="G365" s="186" t="s">
        <v>94</v>
      </c>
      <c r="H365" s="184" t="s">
        <v>113</v>
      </c>
    </row>
    <row r="366" spans="1:20">
      <c r="A366" s="182">
        <v>45127</v>
      </c>
      <c r="B366" s="183">
        <v>0.39125000000000004</v>
      </c>
      <c r="C366" s="184" t="s">
        <v>67</v>
      </c>
      <c r="D366" s="184" t="s">
        <v>78</v>
      </c>
      <c r="E366" s="184" t="s">
        <v>1060</v>
      </c>
      <c r="F366" s="182">
        <v>45279</v>
      </c>
      <c r="G366" s="186" t="s">
        <v>94</v>
      </c>
      <c r="H366" s="184" t="s">
        <v>265</v>
      </c>
    </row>
    <row r="367" spans="1:20">
      <c r="A367" s="182">
        <v>45127</v>
      </c>
      <c r="B367" s="183">
        <v>0.54865740740740743</v>
      </c>
      <c r="C367" s="184" t="s">
        <v>67</v>
      </c>
      <c r="D367" s="184" t="s">
        <v>78</v>
      </c>
      <c r="E367" s="184" t="s">
        <v>1060</v>
      </c>
      <c r="F367" s="182">
        <v>45279</v>
      </c>
      <c r="G367" s="186" t="s">
        <v>94</v>
      </c>
      <c r="H367" s="184" t="s">
        <v>288</v>
      </c>
    </row>
    <row r="368" spans="1:20">
      <c r="A368" s="182">
        <v>45127</v>
      </c>
      <c r="B368" s="183">
        <v>0.56119212962962961</v>
      </c>
      <c r="C368" s="184" t="s">
        <v>67</v>
      </c>
      <c r="D368" s="184" t="s">
        <v>78</v>
      </c>
      <c r="E368" s="184" t="s">
        <v>1060</v>
      </c>
      <c r="F368" s="182">
        <v>45279</v>
      </c>
      <c r="G368" s="186" t="s">
        <v>114</v>
      </c>
      <c r="H368" s="184" t="s">
        <v>327</v>
      </c>
    </row>
    <row r="369" spans="1:20">
      <c r="A369" s="182">
        <v>45127</v>
      </c>
      <c r="B369" s="183">
        <v>0.58560185185185187</v>
      </c>
      <c r="C369" s="184" t="s">
        <v>67</v>
      </c>
      <c r="D369" s="184" t="s">
        <v>78</v>
      </c>
      <c r="E369" s="184" t="s">
        <v>1060</v>
      </c>
      <c r="F369" s="182">
        <v>45279</v>
      </c>
      <c r="G369" s="186" t="s">
        <v>114</v>
      </c>
      <c r="H369" s="184" t="s">
        <v>80</v>
      </c>
    </row>
    <row r="370" spans="1:20">
      <c r="A370" s="182">
        <v>45128</v>
      </c>
      <c r="B370" s="183">
        <v>0.45483796296296292</v>
      </c>
      <c r="C370" s="184" t="s">
        <v>73</v>
      </c>
      <c r="D370" s="184" t="s">
        <v>68</v>
      </c>
      <c r="E370" s="184" t="s">
        <v>19</v>
      </c>
      <c r="F370" s="182">
        <v>45211</v>
      </c>
      <c r="G370" s="186" t="s">
        <v>94</v>
      </c>
      <c r="H370" s="184" t="s">
        <v>259</v>
      </c>
      <c r="T370" s="184" t="s">
        <v>1115</v>
      </c>
    </row>
    <row r="371" spans="1:20">
      <c r="A371" s="182">
        <v>45128</v>
      </c>
      <c r="B371" s="183">
        <v>0.4581365740740741</v>
      </c>
      <c r="C371" s="184" t="s">
        <v>73</v>
      </c>
      <c r="D371" s="184" t="s">
        <v>68</v>
      </c>
      <c r="E371" s="184" t="s">
        <v>124</v>
      </c>
      <c r="F371" s="182">
        <v>45128</v>
      </c>
      <c r="G371" s="186" t="s">
        <v>99</v>
      </c>
      <c r="H371" s="184" t="s">
        <v>273</v>
      </c>
      <c r="T371" s="184" t="s">
        <v>1116</v>
      </c>
    </row>
    <row r="372" spans="1:20">
      <c r="A372" s="182">
        <v>45128</v>
      </c>
      <c r="B372" s="183">
        <v>0.4594212962962963</v>
      </c>
      <c r="C372" s="184" t="s">
        <v>73</v>
      </c>
      <c r="D372" s="184" t="s">
        <v>68</v>
      </c>
      <c r="E372" s="184" t="s">
        <v>124</v>
      </c>
      <c r="F372" s="182">
        <v>45252</v>
      </c>
      <c r="G372" s="186" t="s">
        <v>94</v>
      </c>
      <c r="H372" s="184" t="s">
        <v>182</v>
      </c>
      <c r="T372" s="184" t="s">
        <v>1116</v>
      </c>
    </row>
    <row r="373" spans="1:20">
      <c r="A373" s="182">
        <v>45131</v>
      </c>
      <c r="B373" s="183">
        <v>0.62293981481481475</v>
      </c>
      <c r="C373" s="184" t="s">
        <v>73</v>
      </c>
      <c r="D373" s="184" t="s">
        <v>78</v>
      </c>
      <c r="E373" s="184" t="s">
        <v>1060</v>
      </c>
      <c r="F373" s="182">
        <v>45279</v>
      </c>
      <c r="G373" s="186" t="s">
        <v>94</v>
      </c>
      <c r="H373" s="184" t="s">
        <v>98</v>
      </c>
    </row>
    <row r="374" spans="1:20">
      <c r="A374" s="182">
        <v>45131</v>
      </c>
      <c r="B374" s="183">
        <v>0.62359953703703697</v>
      </c>
      <c r="C374" s="184" t="s">
        <v>73</v>
      </c>
      <c r="D374" s="184" t="s">
        <v>91</v>
      </c>
      <c r="E374" s="184" t="s">
        <v>19</v>
      </c>
      <c r="F374" s="182">
        <v>45211</v>
      </c>
      <c r="G374" s="186" t="s">
        <v>94</v>
      </c>
      <c r="H374" s="184" t="s">
        <v>227</v>
      </c>
    </row>
    <row r="375" spans="1:20">
      <c r="A375" s="182">
        <v>45131</v>
      </c>
      <c r="B375" s="183">
        <v>0.66089120370370369</v>
      </c>
      <c r="C375" s="184" t="s">
        <v>73</v>
      </c>
      <c r="D375" s="184" t="s">
        <v>91</v>
      </c>
      <c r="E375" s="184" t="s">
        <v>45</v>
      </c>
      <c r="F375" s="182">
        <v>45192</v>
      </c>
      <c r="G375" s="186" t="s">
        <v>70</v>
      </c>
      <c r="H375" s="184" t="s">
        <v>93</v>
      </c>
    </row>
    <row r="376" spans="1:20">
      <c r="A376" s="182">
        <v>45131</v>
      </c>
      <c r="B376" s="183">
        <v>0.66100694444444441</v>
      </c>
      <c r="C376" s="184" t="s">
        <v>73</v>
      </c>
      <c r="D376" s="184" t="s">
        <v>91</v>
      </c>
      <c r="E376" s="184" t="s">
        <v>45</v>
      </c>
      <c r="F376" s="182">
        <v>45247</v>
      </c>
      <c r="G376" s="186" t="s">
        <v>70</v>
      </c>
      <c r="H376" s="184" t="s">
        <v>93</v>
      </c>
    </row>
    <row r="377" spans="1:20">
      <c r="A377" s="182">
        <v>45131</v>
      </c>
      <c r="B377" s="183">
        <v>0.66122685185185182</v>
      </c>
      <c r="C377" s="184" t="s">
        <v>73</v>
      </c>
      <c r="D377" s="184" t="s">
        <v>91</v>
      </c>
      <c r="E377" s="184" t="s">
        <v>19</v>
      </c>
      <c r="F377" s="182">
        <v>45211</v>
      </c>
      <c r="G377" s="186" t="s">
        <v>94</v>
      </c>
      <c r="H377" s="184" t="s">
        <v>285</v>
      </c>
    </row>
    <row r="378" spans="1:20">
      <c r="A378" s="182">
        <v>45131</v>
      </c>
      <c r="B378" s="183">
        <v>0.6615509259259259</v>
      </c>
      <c r="C378" s="184" t="s">
        <v>73</v>
      </c>
      <c r="D378" s="184" t="s">
        <v>91</v>
      </c>
      <c r="E378" s="184" t="s">
        <v>96</v>
      </c>
      <c r="F378" s="182">
        <v>45205</v>
      </c>
      <c r="G378" s="186" t="s">
        <v>75</v>
      </c>
      <c r="H378" s="184" t="s">
        <v>92</v>
      </c>
    </row>
    <row r="379" spans="1:20">
      <c r="A379" s="182">
        <v>45132</v>
      </c>
      <c r="B379" s="183">
        <v>0.69008101851851855</v>
      </c>
      <c r="C379" s="184" t="s">
        <v>67</v>
      </c>
      <c r="D379" s="184" t="s">
        <v>78</v>
      </c>
      <c r="E379" s="184" t="s">
        <v>89</v>
      </c>
      <c r="F379" s="182">
        <v>45240</v>
      </c>
      <c r="G379" s="186" t="s">
        <v>75</v>
      </c>
      <c r="H379" s="184" t="s">
        <v>107</v>
      </c>
    </row>
    <row r="380" spans="1:20">
      <c r="A380" s="182">
        <v>45133</v>
      </c>
      <c r="B380" s="183">
        <v>0.45881944444444445</v>
      </c>
      <c r="C380" s="184" t="s">
        <v>73</v>
      </c>
      <c r="D380" s="184" t="s">
        <v>78</v>
      </c>
      <c r="E380" s="184" t="s">
        <v>1060</v>
      </c>
      <c r="F380" s="182">
        <v>45279</v>
      </c>
      <c r="G380" s="186" t="s">
        <v>94</v>
      </c>
      <c r="H380" s="184" t="s">
        <v>116</v>
      </c>
    </row>
    <row r="381" spans="1:20">
      <c r="A381" s="182">
        <v>45135</v>
      </c>
      <c r="B381" s="183">
        <v>0.46717592592592588</v>
      </c>
      <c r="C381" s="184" t="s">
        <v>67</v>
      </c>
      <c r="D381" s="184" t="s">
        <v>78</v>
      </c>
      <c r="E381" s="184" t="s">
        <v>124</v>
      </c>
      <c r="F381" s="182">
        <v>45252</v>
      </c>
      <c r="G381" s="186" t="s">
        <v>94</v>
      </c>
      <c r="H381" s="184" t="s">
        <v>107</v>
      </c>
    </row>
    <row r="382" spans="1:20">
      <c r="A382" s="182">
        <v>45138</v>
      </c>
      <c r="B382" s="183">
        <v>0.47657407407407404</v>
      </c>
      <c r="C382" s="184" t="s">
        <v>67</v>
      </c>
      <c r="D382" s="184" t="s">
        <v>68</v>
      </c>
      <c r="E382" s="184" t="s">
        <v>89</v>
      </c>
      <c r="F382" s="182">
        <v>45121</v>
      </c>
      <c r="G382" s="186" t="s">
        <v>99</v>
      </c>
      <c r="H382" s="184" t="s">
        <v>87</v>
      </c>
      <c r="T382" s="184" t="s">
        <v>1117</v>
      </c>
    </row>
    <row r="383" spans="1:20">
      <c r="A383" s="182">
        <v>45138</v>
      </c>
      <c r="B383" s="183">
        <v>0.47699074074074077</v>
      </c>
      <c r="C383" s="184" t="s">
        <v>67</v>
      </c>
      <c r="D383" s="184" t="s">
        <v>68</v>
      </c>
      <c r="E383" s="184" t="s">
        <v>89</v>
      </c>
      <c r="F383" s="182">
        <v>45240</v>
      </c>
      <c r="G383" s="186" t="s">
        <v>70</v>
      </c>
      <c r="H383" s="184" t="s">
        <v>71</v>
      </c>
      <c r="T383" s="184" t="s">
        <v>1118</v>
      </c>
    </row>
    <row r="384" spans="1:20">
      <c r="A384" s="182">
        <v>45138</v>
      </c>
      <c r="B384" s="183">
        <v>0.49560185185185185</v>
      </c>
      <c r="C384" s="184" t="s">
        <v>73</v>
      </c>
      <c r="D384" s="184" t="s">
        <v>68</v>
      </c>
      <c r="E384" s="184" t="s">
        <v>19</v>
      </c>
      <c r="F384" s="182">
        <v>45211</v>
      </c>
      <c r="G384" s="186" t="s">
        <v>94</v>
      </c>
      <c r="H384" s="184" t="s">
        <v>273</v>
      </c>
      <c r="T384" s="184" t="s">
        <v>1119</v>
      </c>
    </row>
    <row r="385" spans="1:20">
      <c r="A385" s="182">
        <v>45139</v>
      </c>
      <c r="B385" s="183">
        <v>0.38203703703703701</v>
      </c>
      <c r="C385" s="184" t="s">
        <v>67</v>
      </c>
      <c r="D385" s="184" t="s">
        <v>78</v>
      </c>
      <c r="E385" s="184" t="s">
        <v>1060</v>
      </c>
      <c r="F385" s="182">
        <v>45279</v>
      </c>
      <c r="G385" s="186" t="s">
        <v>94</v>
      </c>
      <c r="H385" s="184" t="s">
        <v>84</v>
      </c>
    </row>
    <row r="386" spans="1:20">
      <c r="A386" s="182">
        <v>45139</v>
      </c>
      <c r="B386" s="183">
        <v>0.60175925925925922</v>
      </c>
      <c r="C386" s="184" t="s">
        <v>67</v>
      </c>
      <c r="D386" s="184" t="s">
        <v>78</v>
      </c>
      <c r="E386" s="184" t="s">
        <v>1060</v>
      </c>
      <c r="F386" s="182">
        <v>45279</v>
      </c>
      <c r="G386" s="186" t="s">
        <v>94</v>
      </c>
      <c r="H386" s="184" t="s">
        <v>297</v>
      </c>
    </row>
    <row r="387" spans="1:20">
      <c r="A387" s="182">
        <v>45140</v>
      </c>
      <c r="B387" s="183">
        <v>0.43848379629629625</v>
      </c>
      <c r="C387" s="184" t="s">
        <v>67</v>
      </c>
      <c r="D387" s="184" t="s">
        <v>78</v>
      </c>
      <c r="E387" s="184" t="s">
        <v>124</v>
      </c>
      <c r="F387" s="182">
        <v>45252</v>
      </c>
      <c r="G387" s="186" t="s">
        <v>94</v>
      </c>
      <c r="H387" s="184" t="s">
        <v>106</v>
      </c>
    </row>
    <row r="388" spans="1:20">
      <c r="A388" s="182">
        <v>45140</v>
      </c>
      <c r="B388" s="183">
        <v>0.63157407407407407</v>
      </c>
      <c r="C388" s="184" t="s">
        <v>67</v>
      </c>
      <c r="D388" s="184" t="s">
        <v>78</v>
      </c>
      <c r="E388" s="184" t="s">
        <v>124</v>
      </c>
      <c r="F388" s="182">
        <v>45252</v>
      </c>
      <c r="G388" s="186" t="s">
        <v>114</v>
      </c>
      <c r="H388" s="184" t="s">
        <v>265</v>
      </c>
    </row>
    <row r="389" spans="1:20">
      <c r="A389" s="182">
        <v>45140</v>
      </c>
      <c r="B389" s="183">
        <v>0.69707175925925924</v>
      </c>
      <c r="C389" s="184" t="s">
        <v>73</v>
      </c>
      <c r="D389" s="184" t="s">
        <v>68</v>
      </c>
      <c r="E389" s="184" t="s">
        <v>19</v>
      </c>
      <c r="F389" s="182">
        <v>45211</v>
      </c>
      <c r="G389" s="186" t="s">
        <v>94</v>
      </c>
      <c r="H389" s="184" t="s">
        <v>261</v>
      </c>
      <c r="T389" s="184" t="s">
        <v>420</v>
      </c>
    </row>
    <row r="390" spans="1:20">
      <c r="A390" s="182">
        <v>45141</v>
      </c>
      <c r="B390" s="183">
        <v>0.57311342592592596</v>
      </c>
      <c r="C390" s="184" t="s">
        <v>73</v>
      </c>
      <c r="D390" s="184" t="s">
        <v>68</v>
      </c>
      <c r="E390" s="184" t="s">
        <v>19</v>
      </c>
      <c r="F390" s="182">
        <v>45211</v>
      </c>
      <c r="G390" s="186" t="s">
        <v>114</v>
      </c>
      <c r="H390" s="184" t="s">
        <v>256</v>
      </c>
      <c r="T390" s="184" t="s">
        <v>411</v>
      </c>
    </row>
    <row r="391" spans="1:20">
      <c r="A391" s="182">
        <v>45141</v>
      </c>
      <c r="B391" s="183">
        <v>0.57391203703703708</v>
      </c>
      <c r="C391" s="184" t="s">
        <v>73</v>
      </c>
      <c r="D391" s="184" t="s">
        <v>68</v>
      </c>
      <c r="E391" s="184" t="s">
        <v>96</v>
      </c>
      <c r="F391" s="182">
        <v>45236</v>
      </c>
      <c r="G391" s="186" t="s">
        <v>114</v>
      </c>
      <c r="H391" s="184" t="s">
        <v>103</v>
      </c>
      <c r="T391" s="275" t="s">
        <v>411</v>
      </c>
    </row>
    <row r="392" spans="1:20">
      <c r="A392" s="182">
        <v>45141</v>
      </c>
      <c r="B392" s="183">
        <v>0.57481481481481478</v>
      </c>
      <c r="C392" s="184" t="s">
        <v>73</v>
      </c>
      <c r="D392" s="184" t="s">
        <v>68</v>
      </c>
      <c r="E392" s="184" t="s">
        <v>45</v>
      </c>
      <c r="F392" s="182">
        <v>45247</v>
      </c>
      <c r="G392" s="186" t="s">
        <v>114</v>
      </c>
      <c r="H392" s="184" t="s">
        <v>117</v>
      </c>
      <c r="T392" s="184" t="s">
        <v>411</v>
      </c>
    </row>
    <row r="393" spans="1:20">
      <c r="A393" s="182">
        <v>45141</v>
      </c>
      <c r="B393" s="183">
        <v>0.57586805555555554</v>
      </c>
      <c r="C393" s="184" t="s">
        <v>73</v>
      </c>
      <c r="D393" s="184" t="s">
        <v>68</v>
      </c>
      <c r="E393" s="184" t="s">
        <v>124</v>
      </c>
      <c r="F393" s="182">
        <v>45252</v>
      </c>
      <c r="G393" s="186" t="s">
        <v>114</v>
      </c>
      <c r="H393" s="184" t="s">
        <v>259</v>
      </c>
      <c r="T393" s="184" t="s">
        <v>411</v>
      </c>
    </row>
    <row r="394" spans="1:20">
      <c r="A394" s="182">
        <v>45147</v>
      </c>
      <c r="B394" s="183">
        <v>0.41303240740740743</v>
      </c>
      <c r="C394" s="184" t="s">
        <v>67</v>
      </c>
      <c r="D394" s="184" t="s">
        <v>78</v>
      </c>
      <c r="E394" s="184" t="s">
        <v>96</v>
      </c>
      <c r="F394" s="182">
        <v>45236</v>
      </c>
      <c r="G394" s="186" t="s">
        <v>112</v>
      </c>
      <c r="H394" s="184" t="s">
        <v>113</v>
      </c>
    </row>
    <row r="395" spans="1:20">
      <c r="A395" s="182">
        <v>45147</v>
      </c>
      <c r="B395" s="183">
        <v>0.60307870370370364</v>
      </c>
      <c r="C395" s="184" t="s">
        <v>67</v>
      </c>
      <c r="D395" s="184" t="s">
        <v>159</v>
      </c>
      <c r="E395" s="184" t="s">
        <v>96</v>
      </c>
      <c r="F395" s="182">
        <v>45236</v>
      </c>
      <c r="G395" s="186" t="s">
        <v>70</v>
      </c>
      <c r="H395" s="184" t="s">
        <v>216</v>
      </c>
    </row>
    <row r="396" spans="1:20">
      <c r="A396" s="182">
        <v>45147</v>
      </c>
      <c r="B396" s="183">
        <v>0.61261574074074077</v>
      </c>
      <c r="C396" s="184" t="s">
        <v>67</v>
      </c>
      <c r="D396" s="184" t="s">
        <v>159</v>
      </c>
      <c r="E396" s="184" t="s">
        <v>96</v>
      </c>
      <c r="F396" s="182">
        <v>45236</v>
      </c>
      <c r="G396" s="186" t="s">
        <v>99</v>
      </c>
      <c r="H396" s="184" t="s">
        <v>740</v>
      </c>
    </row>
    <row r="397" spans="1:20">
      <c r="A397" s="182">
        <v>45147</v>
      </c>
      <c r="B397" s="183">
        <v>0.67268518518518527</v>
      </c>
      <c r="C397" s="184" t="s">
        <v>67</v>
      </c>
      <c r="D397" s="184" t="s">
        <v>68</v>
      </c>
      <c r="E397" s="184" t="s">
        <v>96</v>
      </c>
      <c r="F397" s="182">
        <v>45236</v>
      </c>
      <c r="G397" s="186" t="s">
        <v>94</v>
      </c>
      <c r="H397" s="184" t="s">
        <v>182</v>
      </c>
      <c r="T397" s="275" t="s">
        <v>1120</v>
      </c>
    </row>
    <row r="398" spans="1:20">
      <c r="A398" s="182">
        <v>45147</v>
      </c>
      <c r="B398" s="183">
        <v>0.67659722222222218</v>
      </c>
      <c r="C398" s="184" t="s">
        <v>67</v>
      </c>
      <c r="D398" s="184" t="s">
        <v>68</v>
      </c>
      <c r="E398" s="184" t="s">
        <v>19</v>
      </c>
      <c r="F398" s="182">
        <v>45211</v>
      </c>
      <c r="G398" s="186" t="s">
        <v>94</v>
      </c>
      <c r="H398" s="184" t="s">
        <v>305</v>
      </c>
      <c r="T398" s="184" t="s">
        <v>1120</v>
      </c>
    </row>
    <row r="399" spans="1:20">
      <c r="A399" s="182">
        <v>45148</v>
      </c>
      <c r="B399" s="183">
        <v>0.69937499999999997</v>
      </c>
      <c r="C399" s="184" t="s">
        <v>67</v>
      </c>
      <c r="D399" s="184" t="s">
        <v>91</v>
      </c>
      <c r="E399" s="184" t="s">
        <v>45</v>
      </c>
      <c r="F399" s="182">
        <v>45192</v>
      </c>
      <c r="G399" s="186" t="s">
        <v>114</v>
      </c>
      <c r="H399" s="184" t="s">
        <v>227</v>
      </c>
    </row>
    <row r="400" spans="1:20">
      <c r="A400" s="182">
        <v>45154</v>
      </c>
      <c r="B400" s="183">
        <v>0.44457175925925929</v>
      </c>
      <c r="C400" s="184" t="s">
        <v>67</v>
      </c>
      <c r="D400" s="184" t="s">
        <v>68</v>
      </c>
      <c r="E400" s="184" t="s">
        <v>1060</v>
      </c>
      <c r="F400" s="182">
        <v>45279</v>
      </c>
      <c r="G400" s="186" t="s">
        <v>94</v>
      </c>
      <c r="H400" s="184" t="s">
        <v>87</v>
      </c>
      <c r="T400" s="184" t="s">
        <v>478</v>
      </c>
    </row>
    <row r="401" spans="1:20">
      <c r="A401" s="182">
        <v>45155</v>
      </c>
      <c r="B401" s="183">
        <v>0.39458333333333334</v>
      </c>
      <c r="C401" s="184" t="s">
        <v>67</v>
      </c>
      <c r="D401" s="184" t="s">
        <v>78</v>
      </c>
      <c r="E401" s="184" t="s">
        <v>19</v>
      </c>
      <c r="F401" s="182">
        <v>45211</v>
      </c>
      <c r="G401" s="186" t="s">
        <v>94</v>
      </c>
      <c r="H401" s="184" t="s">
        <v>106</v>
      </c>
    </row>
    <row r="402" spans="1:20">
      <c r="A402" s="182">
        <v>45155</v>
      </c>
      <c r="B402" s="183">
        <v>0.6522337962962963</v>
      </c>
      <c r="C402" s="184" t="s">
        <v>73</v>
      </c>
      <c r="D402" s="184" t="s">
        <v>68</v>
      </c>
      <c r="E402" s="184" t="s">
        <v>1060</v>
      </c>
      <c r="F402" s="182">
        <v>45279</v>
      </c>
      <c r="G402" s="186" t="s">
        <v>94</v>
      </c>
      <c r="H402" s="184" t="s">
        <v>101</v>
      </c>
      <c r="T402" s="184" t="s">
        <v>77</v>
      </c>
    </row>
    <row r="403" spans="1:20">
      <c r="A403" s="182">
        <v>45156</v>
      </c>
      <c r="B403" s="183">
        <v>0.7074421296296296</v>
      </c>
      <c r="C403" s="184" t="s">
        <v>73</v>
      </c>
      <c r="D403" s="184" t="s">
        <v>78</v>
      </c>
      <c r="E403" s="184" t="s">
        <v>45</v>
      </c>
      <c r="F403" s="182">
        <v>45192</v>
      </c>
      <c r="G403" s="186" t="s">
        <v>94</v>
      </c>
      <c r="H403" s="184" t="s">
        <v>113</v>
      </c>
    </row>
    <row r="404" spans="1:20">
      <c r="A404" s="182">
        <v>45156</v>
      </c>
      <c r="B404" s="183">
        <v>0.70769675925925923</v>
      </c>
      <c r="C404" s="184" t="s">
        <v>73</v>
      </c>
      <c r="D404" s="184" t="s">
        <v>78</v>
      </c>
      <c r="E404" s="184" t="s">
        <v>19</v>
      </c>
      <c r="F404" s="182">
        <v>45211</v>
      </c>
      <c r="G404" s="186" t="s">
        <v>94</v>
      </c>
      <c r="H404" s="184" t="s">
        <v>113</v>
      </c>
    </row>
    <row r="405" spans="1:20">
      <c r="A405" s="182">
        <v>45159</v>
      </c>
      <c r="B405" s="183">
        <v>0.6153819444444445</v>
      </c>
      <c r="C405" s="184" t="s">
        <v>67</v>
      </c>
      <c r="D405" s="184" t="s">
        <v>78</v>
      </c>
      <c r="E405" s="184" t="s">
        <v>45</v>
      </c>
      <c r="F405" s="182">
        <v>45192</v>
      </c>
      <c r="G405" s="186" t="s">
        <v>112</v>
      </c>
      <c r="H405" s="184" t="s">
        <v>267</v>
      </c>
    </row>
    <row r="406" spans="1:20">
      <c r="A406" s="182">
        <v>45159</v>
      </c>
      <c r="B406" s="183">
        <v>0.61557870370370371</v>
      </c>
      <c r="C406" s="184" t="s">
        <v>67</v>
      </c>
      <c r="D406" s="184" t="s">
        <v>78</v>
      </c>
      <c r="E406" s="184" t="s">
        <v>19</v>
      </c>
      <c r="F406" s="182">
        <v>45211</v>
      </c>
      <c r="G406" s="186" t="s">
        <v>112</v>
      </c>
      <c r="H406" s="184" t="s">
        <v>267</v>
      </c>
    </row>
    <row r="407" spans="1:20">
      <c r="A407" s="182">
        <v>45159</v>
      </c>
      <c r="B407" s="183">
        <v>0.64406249999999998</v>
      </c>
      <c r="C407" s="184" t="s">
        <v>73</v>
      </c>
      <c r="D407" s="184" t="s">
        <v>68</v>
      </c>
      <c r="E407" s="184" t="s">
        <v>19</v>
      </c>
      <c r="F407" s="182">
        <v>45211</v>
      </c>
      <c r="G407" s="186" t="s">
        <v>94</v>
      </c>
      <c r="H407" s="184" t="s">
        <v>322</v>
      </c>
      <c r="T407" s="184" t="s">
        <v>420</v>
      </c>
    </row>
    <row r="408" spans="1:20">
      <c r="A408" s="182">
        <v>45160</v>
      </c>
      <c r="B408" s="183">
        <v>0.38026620370370368</v>
      </c>
      <c r="C408" s="184" t="s">
        <v>67</v>
      </c>
      <c r="D408" s="184" t="s">
        <v>68</v>
      </c>
      <c r="E408" s="184" t="s">
        <v>19</v>
      </c>
      <c r="F408" s="182">
        <v>45211</v>
      </c>
      <c r="G408" s="186" t="s">
        <v>94</v>
      </c>
      <c r="H408" s="184" t="s">
        <v>185</v>
      </c>
      <c r="T408" s="184" t="s">
        <v>544</v>
      </c>
    </row>
    <row r="409" spans="1:20">
      <c r="A409" s="182">
        <v>45160</v>
      </c>
      <c r="B409" s="183">
        <v>0.38085648148148149</v>
      </c>
      <c r="C409" s="184" t="s">
        <v>67</v>
      </c>
      <c r="D409" s="184" t="s">
        <v>68</v>
      </c>
      <c r="E409" s="184" t="s">
        <v>45</v>
      </c>
      <c r="F409" s="182">
        <v>45247</v>
      </c>
      <c r="G409" s="186" t="s">
        <v>94</v>
      </c>
      <c r="H409" s="184" t="s">
        <v>259</v>
      </c>
      <c r="T409" s="184" t="s">
        <v>544</v>
      </c>
    </row>
    <row r="410" spans="1:20">
      <c r="A410" s="182">
        <v>45160</v>
      </c>
      <c r="B410" s="183">
        <v>0.39471064814814816</v>
      </c>
      <c r="C410" s="184" t="s">
        <v>67</v>
      </c>
      <c r="D410" s="184" t="s">
        <v>68</v>
      </c>
      <c r="E410" s="184" t="s">
        <v>96</v>
      </c>
      <c r="F410" s="182">
        <v>45205</v>
      </c>
      <c r="G410" s="186" t="s">
        <v>94</v>
      </c>
      <c r="H410" s="184" t="s">
        <v>76</v>
      </c>
      <c r="T410" s="184" t="s">
        <v>1121</v>
      </c>
    </row>
    <row r="411" spans="1:20">
      <c r="A411" s="182">
        <v>45161</v>
      </c>
      <c r="B411" s="183">
        <v>0.56832175925925921</v>
      </c>
      <c r="C411" s="184" t="s">
        <v>73</v>
      </c>
      <c r="D411" s="184" t="s">
        <v>78</v>
      </c>
      <c r="E411" s="184" t="s">
        <v>1060</v>
      </c>
      <c r="F411" s="182">
        <v>45279</v>
      </c>
      <c r="G411" s="186" t="s">
        <v>94</v>
      </c>
      <c r="H411" s="184" t="s">
        <v>280</v>
      </c>
    </row>
    <row r="412" spans="1:20">
      <c r="A412" s="182">
        <v>45161</v>
      </c>
      <c r="B412" s="183">
        <v>0.69106481481481474</v>
      </c>
      <c r="C412" s="184" t="s">
        <v>73</v>
      </c>
      <c r="D412" s="184" t="s">
        <v>78</v>
      </c>
      <c r="E412" s="184" t="s">
        <v>45</v>
      </c>
      <c r="F412" s="182">
        <v>45192</v>
      </c>
      <c r="G412" s="186" t="s">
        <v>83</v>
      </c>
      <c r="H412" s="184" t="s">
        <v>98</v>
      </c>
    </row>
    <row r="413" spans="1:20">
      <c r="A413" s="182">
        <v>45161</v>
      </c>
      <c r="B413" s="183">
        <v>0.69115740740740739</v>
      </c>
      <c r="C413" s="184" t="s">
        <v>73</v>
      </c>
      <c r="D413" s="184" t="s">
        <v>91</v>
      </c>
      <c r="E413" s="184" t="s">
        <v>96</v>
      </c>
      <c r="F413" s="182">
        <v>45205</v>
      </c>
      <c r="G413" s="186" t="s">
        <v>94</v>
      </c>
      <c r="H413" s="184" t="s">
        <v>227</v>
      </c>
    </row>
    <row r="414" spans="1:20">
      <c r="A414" s="182">
        <v>45161</v>
      </c>
      <c r="B414" s="183">
        <v>0.69416666666666671</v>
      </c>
      <c r="C414" s="184" t="s">
        <v>73</v>
      </c>
      <c r="D414" s="184" t="s">
        <v>68</v>
      </c>
      <c r="E414" s="184" t="s">
        <v>124</v>
      </c>
      <c r="F414" s="182">
        <v>45252</v>
      </c>
      <c r="G414" s="186" t="s">
        <v>94</v>
      </c>
      <c r="H414" s="184" t="s">
        <v>273</v>
      </c>
      <c r="T414" s="184" t="s">
        <v>161</v>
      </c>
    </row>
    <row r="415" spans="1:20">
      <c r="A415" s="182">
        <v>45163</v>
      </c>
      <c r="B415" s="183">
        <v>0.48412037037037042</v>
      </c>
      <c r="C415" s="184" t="s">
        <v>67</v>
      </c>
      <c r="D415" s="184" t="s">
        <v>78</v>
      </c>
      <c r="E415" s="184" t="s">
        <v>45</v>
      </c>
      <c r="F415" s="182">
        <v>45192</v>
      </c>
      <c r="G415" s="186" t="s">
        <v>94</v>
      </c>
      <c r="H415" s="184" t="s">
        <v>116</v>
      </c>
    </row>
    <row r="416" spans="1:20">
      <c r="A416" s="182">
        <v>45163</v>
      </c>
      <c r="B416" s="183">
        <v>0.48432870370370368</v>
      </c>
      <c r="C416" s="184" t="s">
        <v>67</v>
      </c>
      <c r="D416" s="184" t="s">
        <v>78</v>
      </c>
      <c r="E416" s="184" t="s">
        <v>19</v>
      </c>
      <c r="F416" s="182">
        <v>45211</v>
      </c>
      <c r="G416" s="186" t="s">
        <v>94</v>
      </c>
      <c r="H416" s="184" t="s">
        <v>327</v>
      </c>
    </row>
    <row r="417" spans="1:20">
      <c r="A417" s="182">
        <v>45163</v>
      </c>
      <c r="B417" s="183">
        <v>0.63450231481481478</v>
      </c>
      <c r="C417" s="184" t="s">
        <v>73</v>
      </c>
      <c r="D417" s="184" t="s">
        <v>68</v>
      </c>
      <c r="E417" s="184" t="s">
        <v>96</v>
      </c>
      <c r="F417" s="182">
        <v>45236</v>
      </c>
      <c r="G417" s="186" t="s">
        <v>114</v>
      </c>
      <c r="H417" s="184" t="s">
        <v>259</v>
      </c>
      <c r="T417" s="275" t="s">
        <v>1122</v>
      </c>
    </row>
    <row r="418" spans="1:20">
      <c r="A418" s="182">
        <v>45166</v>
      </c>
      <c r="B418" s="183">
        <v>0.52555555555555555</v>
      </c>
      <c r="C418" s="184" t="s">
        <v>73</v>
      </c>
      <c r="D418" s="184" t="s">
        <v>78</v>
      </c>
      <c r="E418" s="184" t="s">
        <v>96</v>
      </c>
      <c r="F418" s="182">
        <v>45205</v>
      </c>
      <c r="G418" s="186" t="s">
        <v>114</v>
      </c>
      <c r="H418" s="184" t="s">
        <v>265</v>
      </c>
    </row>
    <row r="419" spans="1:20">
      <c r="A419" s="182">
        <v>45167</v>
      </c>
      <c r="B419" s="183">
        <v>0.37342592592592588</v>
      </c>
      <c r="C419" s="184" t="s">
        <v>67</v>
      </c>
      <c r="D419" s="184" t="s">
        <v>68</v>
      </c>
      <c r="E419" s="184" t="s">
        <v>96</v>
      </c>
      <c r="F419" s="182">
        <v>45236</v>
      </c>
      <c r="G419" s="186" t="s">
        <v>94</v>
      </c>
      <c r="H419" s="184" t="s">
        <v>273</v>
      </c>
      <c r="T419" s="275" t="s">
        <v>234</v>
      </c>
    </row>
    <row r="420" spans="1:20">
      <c r="A420" s="182">
        <v>45167</v>
      </c>
      <c r="B420" s="183">
        <v>0.37405092592592593</v>
      </c>
      <c r="C420" s="184" t="s">
        <v>67</v>
      </c>
      <c r="D420" s="184" t="s">
        <v>68</v>
      </c>
      <c r="E420" s="184" t="s">
        <v>19</v>
      </c>
      <c r="F420" s="182">
        <v>45211</v>
      </c>
      <c r="G420" s="186" t="s">
        <v>83</v>
      </c>
      <c r="H420" s="184" t="s">
        <v>209</v>
      </c>
      <c r="T420" s="184" t="s">
        <v>234</v>
      </c>
    </row>
    <row r="421" spans="1:20">
      <c r="A421" s="182">
        <v>45167</v>
      </c>
      <c r="B421" s="183">
        <v>0.37452546296296302</v>
      </c>
      <c r="C421" s="184" t="s">
        <v>67</v>
      </c>
      <c r="D421" s="184" t="s">
        <v>68</v>
      </c>
      <c r="E421" s="184" t="s">
        <v>69</v>
      </c>
      <c r="F421" s="182">
        <v>45205</v>
      </c>
      <c r="G421" s="186" t="s">
        <v>94</v>
      </c>
      <c r="H421" s="184" t="s">
        <v>182</v>
      </c>
      <c r="T421" s="184" t="s">
        <v>234</v>
      </c>
    </row>
    <row r="422" spans="1:20">
      <c r="A422" s="182">
        <v>45167</v>
      </c>
      <c r="B422" s="183">
        <v>0.41113425925925928</v>
      </c>
      <c r="C422" s="184" t="s">
        <v>67</v>
      </c>
      <c r="D422" s="184" t="s">
        <v>68</v>
      </c>
      <c r="E422" s="184" t="s">
        <v>1060</v>
      </c>
      <c r="F422" s="182">
        <v>45279</v>
      </c>
      <c r="G422" s="186" t="s">
        <v>94</v>
      </c>
      <c r="H422" s="184" t="s">
        <v>103</v>
      </c>
      <c r="T422" s="184" t="s">
        <v>1123</v>
      </c>
    </row>
    <row r="423" spans="1:20">
      <c r="A423" s="182">
        <v>45167</v>
      </c>
      <c r="B423" s="183">
        <v>0.62172453703703701</v>
      </c>
      <c r="C423" s="184" t="s">
        <v>67</v>
      </c>
      <c r="D423" s="184" t="s">
        <v>68</v>
      </c>
      <c r="E423" s="184" t="s">
        <v>96</v>
      </c>
      <c r="F423" s="182">
        <v>45236</v>
      </c>
      <c r="G423" s="186" t="s">
        <v>112</v>
      </c>
      <c r="H423" s="184" t="s">
        <v>256</v>
      </c>
      <c r="T423" s="275" t="s">
        <v>234</v>
      </c>
    </row>
    <row r="424" spans="1:20">
      <c r="A424" s="182">
        <v>45167</v>
      </c>
      <c r="B424" s="183">
        <v>0.62266203703703704</v>
      </c>
      <c r="C424" s="184" t="s">
        <v>67</v>
      </c>
      <c r="D424" s="184" t="s">
        <v>68</v>
      </c>
      <c r="E424" s="184" t="s">
        <v>45</v>
      </c>
      <c r="F424" s="182">
        <v>45247</v>
      </c>
      <c r="G424" s="186" t="s">
        <v>94</v>
      </c>
      <c r="H424" s="184" t="s">
        <v>273</v>
      </c>
      <c r="T424" s="184" t="s">
        <v>234</v>
      </c>
    </row>
    <row r="425" spans="1:20">
      <c r="A425" s="182">
        <v>45168</v>
      </c>
      <c r="B425" s="183">
        <v>0.49608796296296293</v>
      </c>
      <c r="C425" s="184" t="s">
        <v>67</v>
      </c>
      <c r="D425" s="184" t="s">
        <v>78</v>
      </c>
      <c r="E425" s="184" t="s">
        <v>69</v>
      </c>
      <c r="F425" s="182">
        <v>45205</v>
      </c>
      <c r="G425" s="186" t="s">
        <v>114</v>
      </c>
      <c r="H425" s="184" t="s">
        <v>106</v>
      </c>
    </row>
    <row r="426" spans="1:20">
      <c r="A426" s="182">
        <v>45168</v>
      </c>
      <c r="B426" s="183">
        <v>0.5816782407407407</v>
      </c>
      <c r="C426" s="184" t="s">
        <v>73</v>
      </c>
      <c r="D426" s="184" t="s">
        <v>68</v>
      </c>
      <c r="E426" s="184" t="s">
        <v>45</v>
      </c>
      <c r="F426" s="182">
        <v>45247</v>
      </c>
      <c r="G426" s="186" t="s">
        <v>94</v>
      </c>
      <c r="H426" s="184" t="s">
        <v>261</v>
      </c>
      <c r="T426" s="184" t="s">
        <v>1124</v>
      </c>
    </row>
    <row r="427" spans="1:20">
      <c r="A427" s="182">
        <v>45169</v>
      </c>
      <c r="B427" s="183">
        <v>0.44900462962962967</v>
      </c>
      <c r="C427" s="184" t="s">
        <v>67</v>
      </c>
      <c r="D427" s="184" t="s">
        <v>78</v>
      </c>
      <c r="E427" s="184" t="s">
        <v>96</v>
      </c>
      <c r="F427" s="182">
        <v>45205</v>
      </c>
      <c r="G427" s="186" t="s">
        <v>94</v>
      </c>
      <c r="H427" s="184" t="s">
        <v>288</v>
      </c>
    </row>
    <row r="428" spans="1:20">
      <c r="A428" s="182">
        <v>45169</v>
      </c>
      <c r="B428" s="183">
        <v>0.47322916666666665</v>
      </c>
      <c r="C428" s="184" t="s">
        <v>67</v>
      </c>
      <c r="D428" s="184" t="s">
        <v>78</v>
      </c>
      <c r="E428" s="184" t="s">
        <v>69</v>
      </c>
      <c r="F428" s="182">
        <v>45205</v>
      </c>
      <c r="G428" s="186" t="s">
        <v>94</v>
      </c>
      <c r="H428" s="184" t="s">
        <v>113</v>
      </c>
    </row>
    <row r="429" spans="1:20">
      <c r="A429" s="182">
        <v>45169</v>
      </c>
      <c r="B429" s="183">
        <v>0.65767361111111111</v>
      </c>
      <c r="C429" s="184" t="s">
        <v>67</v>
      </c>
      <c r="D429" s="184" t="s">
        <v>68</v>
      </c>
      <c r="E429" s="184" t="s">
        <v>19</v>
      </c>
      <c r="F429" s="182">
        <v>45211</v>
      </c>
      <c r="G429" s="186" t="s">
        <v>94</v>
      </c>
      <c r="H429" s="184" t="s">
        <v>272</v>
      </c>
      <c r="T429" s="184" t="s">
        <v>302</v>
      </c>
    </row>
    <row r="430" spans="1:20">
      <c r="A430" s="182">
        <v>45169</v>
      </c>
      <c r="B430" s="183">
        <v>0.66068287037037032</v>
      </c>
      <c r="C430" s="184" t="s">
        <v>67</v>
      </c>
      <c r="D430" s="184" t="s">
        <v>68</v>
      </c>
      <c r="E430" s="184" t="s">
        <v>19</v>
      </c>
      <c r="F430" s="182">
        <v>45274</v>
      </c>
      <c r="G430" s="186" t="s">
        <v>70</v>
      </c>
      <c r="H430" s="184" t="s">
        <v>71</v>
      </c>
      <c r="T430" s="184" t="s">
        <v>302</v>
      </c>
    </row>
    <row r="431" spans="1:20">
      <c r="A431" s="182">
        <v>45169</v>
      </c>
      <c r="B431" s="183">
        <v>0.66686342592592596</v>
      </c>
      <c r="C431" s="184" t="s">
        <v>67</v>
      </c>
      <c r="D431" s="184" t="s">
        <v>68</v>
      </c>
      <c r="E431" s="184" t="s">
        <v>45</v>
      </c>
      <c r="F431" s="182">
        <v>45247</v>
      </c>
      <c r="G431" s="186" t="s">
        <v>94</v>
      </c>
      <c r="H431" s="184" t="s">
        <v>260</v>
      </c>
      <c r="T431" s="184" t="s">
        <v>234</v>
      </c>
    </row>
    <row r="432" spans="1:20">
      <c r="A432" s="182">
        <v>45173</v>
      </c>
      <c r="B432" s="183">
        <v>0.38325231481481481</v>
      </c>
      <c r="C432" s="184" t="s">
        <v>67</v>
      </c>
      <c r="D432" s="184" t="s">
        <v>91</v>
      </c>
      <c r="E432" s="184" t="s">
        <v>96</v>
      </c>
      <c r="F432" s="182">
        <v>45205</v>
      </c>
      <c r="G432" s="186" t="s">
        <v>94</v>
      </c>
      <c r="H432" s="184" t="s">
        <v>285</v>
      </c>
    </row>
    <row r="433" spans="1:20">
      <c r="A433" s="182">
        <v>45173</v>
      </c>
      <c r="B433" s="183">
        <v>0.38401620370370365</v>
      </c>
      <c r="C433" s="184" t="s">
        <v>67</v>
      </c>
      <c r="D433" s="184" t="s">
        <v>78</v>
      </c>
      <c r="E433" s="184" t="s">
        <v>69</v>
      </c>
      <c r="F433" s="182">
        <v>45205</v>
      </c>
      <c r="G433" s="186" t="s">
        <v>83</v>
      </c>
      <c r="H433" s="184" t="s">
        <v>327</v>
      </c>
    </row>
    <row r="434" spans="1:20">
      <c r="A434" s="182">
        <v>45173</v>
      </c>
      <c r="B434" s="183">
        <v>0.38618055555555553</v>
      </c>
      <c r="C434" s="184" t="s">
        <v>73</v>
      </c>
      <c r="D434" s="184" t="s">
        <v>68</v>
      </c>
      <c r="E434" s="184" t="s">
        <v>45</v>
      </c>
      <c r="F434" s="182">
        <v>45192</v>
      </c>
      <c r="G434" s="186" t="s">
        <v>75</v>
      </c>
      <c r="H434" s="184" t="s">
        <v>76</v>
      </c>
      <c r="T434" s="184" t="s">
        <v>1125</v>
      </c>
    </row>
    <row r="435" spans="1:20">
      <c r="A435" s="182">
        <v>45173</v>
      </c>
      <c r="B435" s="183">
        <v>0.38747685185185188</v>
      </c>
      <c r="C435" s="184" t="s">
        <v>73</v>
      </c>
      <c r="D435" s="184" t="s">
        <v>159</v>
      </c>
      <c r="E435" s="184" t="s">
        <v>96</v>
      </c>
      <c r="F435" s="182">
        <v>45205</v>
      </c>
      <c r="G435" s="186" t="s">
        <v>94</v>
      </c>
      <c r="H435" s="184" t="s">
        <v>215</v>
      </c>
      <c r="I435" s="184" t="s">
        <v>1048</v>
      </c>
    </row>
    <row r="436" spans="1:20">
      <c r="A436" s="182">
        <v>45173</v>
      </c>
      <c r="B436" s="183">
        <v>0.40903935185185186</v>
      </c>
      <c r="C436" s="184" t="s">
        <v>67</v>
      </c>
      <c r="D436" s="184" t="s">
        <v>78</v>
      </c>
      <c r="E436" s="184" t="s">
        <v>96</v>
      </c>
      <c r="F436" s="182">
        <v>45205</v>
      </c>
      <c r="G436" s="186" t="s">
        <v>94</v>
      </c>
      <c r="H436" s="184" t="s">
        <v>267</v>
      </c>
    </row>
    <row r="437" spans="1:20">
      <c r="A437" s="182">
        <v>45173</v>
      </c>
      <c r="B437" s="183">
        <v>0.57453703703703707</v>
      </c>
      <c r="C437" s="184" t="s">
        <v>67</v>
      </c>
      <c r="D437" s="184" t="s">
        <v>68</v>
      </c>
      <c r="E437" s="184" t="s">
        <v>1060</v>
      </c>
      <c r="F437" s="182">
        <v>45279</v>
      </c>
      <c r="G437" s="186" t="s">
        <v>114</v>
      </c>
      <c r="H437" s="184" t="s">
        <v>117</v>
      </c>
      <c r="T437" s="184" t="s">
        <v>74</v>
      </c>
    </row>
    <row r="438" spans="1:20">
      <c r="A438" s="182">
        <v>45173</v>
      </c>
      <c r="B438" s="183">
        <v>0.57513888888888887</v>
      </c>
      <c r="C438" s="184" t="s">
        <v>67</v>
      </c>
      <c r="D438" s="184" t="s">
        <v>68</v>
      </c>
      <c r="E438" s="184" t="s">
        <v>45</v>
      </c>
      <c r="F438" s="182">
        <v>45247</v>
      </c>
      <c r="G438" s="186" t="s">
        <v>112</v>
      </c>
      <c r="H438" s="184" t="s">
        <v>322</v>
      </c>
      <c r="T438" s="184" t="s">
        <v>74</v>
      </c>
    </row>
    <row r="439" spans="1:20">
      <c r="A439" s="182">
        <v>45173</v>
      </c>
      <c r="B439" s="183">
        <v>0.57554398148148145</v>
      </c>
      <c r="C439" s="184" t="s">
        <v>67</v>
      </c>
      <c r="D439" s="184" t="s">
        <v>68</v>
      </c>
      <c r="E439" s="184" t="s">
        <v>19</v>
      </c>
      <c r="F439" s="182">
        <v>45211</v>
      </c>
      <c r="G439" s="186" t="s">
        <v>112</v>
      </c>
      <c r="H439" s="184" t="s">
        <v>231</v>
      </c>
      <c r="T439" s="184" t="s">
        <v>74</v>
      </c>
    </row>
    <row r="440" spans="1:20">
      <c r="A440" s="182">
        <v>45173</v>
      </c>
      <c r="B440" s="183">
        <v>0.57575231481481481</v>
      </c>
      <c r="C440" s="184" t="s">
        <v>67</v>
      </c>
      <c r="D440" s="184" t="s">
        <v>68</v>
      </c>
      <c r="E440" s="184" t="s">
        <v>19</v>
      </c>
      <c r="F440" s="182">
        <v>45211</v>
      </c>
      <c r="G440" s="186" t="s">
        <v>70</v>
      </c>
      <c r="H440" s="184" t="s">
        <v>239</v>
      </c>
      <c r="T440" s="184" t="s">
        <v>74</v>
      </c>
    </row>
    <row r="441" spans="1:20">
      <c r="A441" s="182">
        <v>45174</v>
      </c>
      <c r="B441" s="183">
        <v>0.37751157407407404</v>
      </c>
      <c r="C441" s="184" t="s">
        <v>67</v>
      </c>
      <c r="D441" s="184" t="s">
        <v>159</v>
      </c>
      <c r="E441" s="184" t="s">
        <v>96</v>
      </c>
      <c r="F441" s="182">
        <v>45205</v>
      </c>
      <c r="G441" s="186" t="s">
        <v>99</v>
      </c>
      <c r="H441" s="184" t="s">
        <v>216</v>
      </c>
    </row>
    <row r="442" spans="1:20">
      <c r="A442" s="182">
        <v>45174</v>
      </c>
      <c r="B442" s="183">
        <v>0.68587962962962967</v>
      </c>
      <c r="C442" s="184" t="s">
        <v>67</v>
      </c>
      <c r="D442" s="184" t="s">
        <v>159</v>
      </c>
      <c r="E442" s="184" t="s">
        <v>96</v>
      </c>
      <c r="F442" s="182">
        <v>45236</v>
      </c>
      <c r="G442" s="186" t="s">
        <v>94</v>
      </c>
      <c r="H442" s="184" t="s">
        <v>216</v>
      </c>
    </row>
    <row r="443" spans="1:20">
      <c r="A443" s="182">
        <v>45175</v>
      </c>
      <c r="B443" s="183">
        <v>0.44040509259259258</v>
      </c>
      <c r="C443" s="184" t="s">
        <v>73</v>
      </c>
      <c r="D443" s="184" t="s">
        <v>91</v>
      </c>
      <c r="E443" s="184" t="s">
        <v>45</v>
      </c>
      <c r="F443" s="182">
        <v>45192</v>
      </c>
      <c r="G443" s="186" t="s">
        <v>114</v>
      </c>
      <c r="H443" s="184" t="s">
        <v>120</v>
      </c>
    </row>
    <row r="444" spans="1:20">
      <c r="A444" s="182">
        <v>45175</v>
      </c>
      <c r="B444" s="183">
        <v>0.44067129629629626</v>
      </c>
      <c r="C444" s="184" t="s">
        <v>73</v>
      </c>
      <c r="D444" s="184" t="s">
        <v>91</v>
      </c>
      <c r="E444" s="184" t="s">
        <v>96</v>
      </c>
      <c r="F444" s="182">
        <v>45205</v>
      </c>
      <c r="G444" s="186" t="s">
        <v>94</v>
      </c>
      <c r="H444" s="184" t="s">
        <v>120</v>
      </c>
    </row>
    <row r="445" spans="1:20">
      <c r="A445" s="182">
        <v>45175</v>
      </c>
      <c r="B445" s="183">
        <v>0.53842592592592597</v>
      </c>
      <c r="C445" s="184" t="s">
        <v>73</v>
      </c>
      <c r="D445" s="184" t="s">
        <v>68</v>
      </c>
      <c r="E445" s="184" t="s">
        <v>19</v>
      </c>
      <c r="F445" s="182">
        <v>45211</v>
      </c>
      <c r="G445" s="186" t="s">
        <v>94</v>
      </c>
      <c r="H445" s="184" t="s">
        <v>241</v>
      </c>
      <c r="T445" s="184" t="s">
        <v>1126</v>
      </c>
    </row>
    <row r="446" spans="1:20">
      <c r="A446" s="182">
        <v>45176</v>
      </c>
      <c r="B446" s="183">
        <v>0.39969907407407407</v>
      </c>
      <c r="C446" s="184" t="s">
        <v>67</v>
      </c>
      <c r="D446" s="184" t="s">
        <v>78</v>
      </c>
      <c r="E446" s="184" t="s">
        <v>45</v>
      </c>
      <c r="F446" s="182">
        <v>45192</v>
      </c>
      <c r="G446" s="186" t="s">
        <v>94</v>
      </c>
      <c r="H446" s="184" t="s">
        <v>84</v>
      </c>
    </row>
    <row r="447" spans="1:20">
      <c r="A447" s="182">
        <v>45176</v>
      </c>
      <c r="B447" s="183">
        <v>0.49791666666666662</v>
      </c>
      <c r="C447" s="184" t="s">
        <v>73</v>
      </c>
      <c r="D447" s="184" t="s">
        <v>68</v>
      </c>
      <c r="E447" s="184" t="s">
        <v>124</v>
      </c>
      <c r="F447" s="182">
        <v>45252</v>
      </c>
      <c r="G447" s="186" t="s">
        <v>94</v>
      </c>
      <c r="H447" s="184" t="s">
        <v>261</v>
      </c>
      <c r="T447" s="184" t="s">
        <v>234</v>
      </c>
    </row>
    <row r="448" spans="1:20">
      <c r="A448" s="182">
        <v>45177</v>
      </c>
      <c r="B448" s="183">
        <v>0.49664351851851851</v>
      </c>
      <c r="C448" s="184" t="s">
        <v>73</v>
      </c>
      <c r="D448" s="184" t="s">
        <v>91</v>
      </c>
      <c r="E448" s="184" t="s">
        <v>19</v>
      </c>
      <c r="F448" s="182">
        <v>45211</v>
      </c>
      <c r="G448" s="186" t="s">
        <v>114</v>
      </c>
      <c r="H448" s="184" t="s">
        <v>229</v>
      </c>
    </row>
    <row r="449" spans="1:20">
      <c r="A449" s="182">
        <v>45177</v>
      </c>
      <c r="B449" s="183">
        <v>0.58408564814814812</v>
      </c>
      <c r="C449" s="184" t="s">
        <v>73</v>
      </c>
      <c r="D449" s="184" t="s">
        <v>68</v>
      </c>
      <c r="E449" s="184" t="s">
        <v>1060</v>
      </c>
      <c r="F449" s="182">
        <v>45279</v>
      </c>
      <c r="G449" s="186" t="s">
        <v>94</v>
      </c>
      <c r="H449" s="184" t="s">
        <v>259</v>
      </c>
      <c r="T449" s="184" t="s">
        <v>1128</v>
      </c>
    </row>
    <row r="450" spans="1:20">
      <c r="A450" s="182">
        <v>45177</v>
      </c>
      <c r="B450" s="183">
        <v>0.5860995370370371</v>
      </c>
      <c r="C450" s="184" t="s">
        <v>73</v>
      </c>
      <c r="D450" s="184" t="s">
        <v>91</v>
      </c>
      <c r="E450" s="184" t="s">
        <v>96</v>
      </c>
      <c r="F450" s="182">
        <v>45205</v>
      </c>
      <c r="G450" s="186" t="s">
        <v>94</v>
      </c>
      <c r="H450" s="184" t="s">
        <v>229</v>
      </c>
    </row>
    <row r="451" spans="1:20">
      <c r="A451" s="182">
        <v>45180</v>
      </c>
      <c r="B451" s="183">
        <v>0.57481481481481478</v>
      </c>
      <c r="C451" s="184" t="s">
        <v>67</v>
      </c>
      <c r="D451" s="184" t="s">
        <v>91</v>
      </c>
      <c r="E451" s="184" t="s">
        <v>19</v>
      </c>
      <c r="F451" s="182">
        <v>45211</v>
      </c>
      <c r="G451" s="186" t="s">
        <v>94</v>
      </c>
      <c r="H451" s="184" t="s">
        <v>189</v>
      </c>
    </row>
    <row r="452" spans="1:20">
      <c r="A452" s="182">
        <v>45180</v>
      </c>
      <c r="B452" s="183">
        <v>0.60976851851851854</v>
      </c>
      <c r="C452" s="184" t="s">
        <v>67</v>
      </c>
      <c r="D452" s="184" t="s">
        <v>68</v>
      </c>
      <c r="E452" s="184" t="s">
        <v>96</v>
      </c>
      <c r="F452" s="182">
        <v>45236</v>
      </c>
      <c r="G452" s="186" t="s">
        <v>112</v>
      </c>
      <c r="H452" s="184" t="s">
        <v>185</v>
      </c>
      <c r="T452" s="275" t="s">
        <v>1002</v>
      </c>
    </row>
    <row r="453" spans="1:20">
      <c r="A453" s="182">
        <v>45180</v>
      </c>
      <c r="B453" s="183">
        <v>0.65167824074074077</v>
      </c>
      <c r="C453" s="184" t="s">
        <v>67</v>
      </c>
      <c r="D453" s="184" t="s">
        <v>91</v>
      </c>
      <c r="E453" s="184" t="s">
        <v>45</v>
      </c>
      <c r="F453" s="182">
        <v>45247</v>
      </c>
      <c r="G453" s="186" t="s">
        <v>94</v>
      </c>
      <c r="H453" s="184" t="s">
        <v>92</v>
      </c>
    </row>
    <row r="454" spans="1:20">
      <c r="A454" s="182">
        <v>45180</v>
      </c>
      <c r="B454" s="183">
        <v>0.65211805555555558</v>
      </c>
      <c r="C454" s="184" t="s">
        <v>67</v>
      </c>
      <c r="D454" s="184" t="s">
        <v>91</v>
      </c>
      <c r="E454" s="184" t="s">
        <v>96</v>
      </c>
      <c r="F454" s="182">
        <v>45205</v>
      </c>
      <c r="G454" s="186" t="s">
        <v>114</v>
      </c>
      <c r="H454" s="184" t="s">
        <v>218</v>
      </c>
    </row>
    <row r="455" spans="1:20">
      <c r="A455" s="182">
        <v>45181</v>
      </c>
      <c r="B455" s="183">
        <v>0.43100694444444443</v>
      </c>
      <c r="C455" s="184" t="s">
        <v>73</v>
      </c>
      <c r="D455" s="184" t="s">
        <v>68</v>
      </c>
      <c r="E455" s="184" t="s">
        <v>69</v>
      </c>
      <c r="F455" s="182">
        <v>45205</v>
      </c>
      <c r="G455" s="186" t="s">
        <v>94</v>
      </c>
      <c r="H455" s="184" t="s">
        <v>117</v>
      </c>
      <c r="T455" s="184" t="s">
        <v>309</v>
      </c>
    </row>
    <row r="456" spans="1:20">
      <c r="A456" s="182">
        <v>45181</v>
      </c>
      <c r="B456" s="183">
        <v>0.44313657407407409</v>
      </c>
      <c r="C456" s="184" t="s">
        <v>73</v>
      </c>
      <c r="D456" s="184" t="s">
        <v>68</v>
      </c>
      <c r="E456" s="184" t="s">
        <v>96</v>
      </c>
      <c r="F456" s="182">
        <v>45205</v>
      </c>
      <c r="G456" s="186" t="s">
        <v>114</v>
      </c>
      <c r="H456" s="184" t="s">
        <v>101</v>
      </c>
      <c r="T456" s="184" t="s">
        <v>379</v>
      </c>
    </row>
    <row r="457" spans="1:20">
      <c r="A457" s="182">
        <v>45181</v>
      </c>
      <c r="B457" s="183">
        <v>0.44375000000000003</v>
      </c>
      <c r="C457" s="184" t="s">
        <v>73</v>
      </c>
      <c r="D457" s="184" t="s">
        <v>68</v>
      </c>
      <c r="E457" s="184" t="s">
        <v>45</v>
      </c>
      <c r="F457" s="182">
        <v>45247</v>
      </c>
      <c r="G457" s="186" t="s">
        <v>94</v>
      </c>
      <c r="H457" s="184" t="s">
        <v>185</v>
      </c>
      <c r="T457" s="184" t="s">
        <v>379</v>
      </c>
    </row>
    <row r="458" spans="1:20">
      <c r="A458" s="182">
        <v>45181</v>
      </c>
      <c r="B458" s="183">
        <v>0.46385416666666668</v>
      </c>
      <c r="C458" s="184" t="s">
        <v>73</v>
      </c>
      <c r="D458" s="184" t="s">
        <v>68</v>
      </c>
      <c r="E458" s="184" t="s">
        <v>96</v>
      </c>
      <c r="F458" s="182">
        <v>45236</v>
      </c>
      <c r="G458" s="186" t="s">
        <v>94</v>
      </c>
      <c r="H458" s="184" t="s">
        <v>308</v>
      </c>
      <c r="T458" s="275" t="s">
        <v>1129</v>
      </c>
    </row>
    <row r="459" spans="1:20">
      <c r="A459" s="182">
        <v>45181</v>
      </c>
      <c r="B459" s="183">
        <v>0.46762731481481484</v>
      </c>
      <c r="C459" s="184" t="s">
        <v>73</v>
      </c>
      <c r="D459" s="184" t="s">
        <v>68</v>
      </c>
      <c r="E459" s="184" t="s">
        <v>1060</v>
      </c>
      <c r="F459" s="182">
        <v>45279</v>
      </c>
      <c r="G459" s="186" t="s">
        <v>94</v>
      </c>
      <c r="H459" s="184" t="s">
        <v>273</v>
      </c>
      <c r="T459" s="184" t="s">
        <v>379</v>
      </c>
    </row>
    <row r="460" spans="1:20">
      <c r="A460" s="182">
        <v>45181</v>
      </c>
      <c r="B460" s="183">
        <v>0.56837962962962962</v>
      </c>
      <c r="C460" s="184" t="s">
        <v>73</v>
      </c>
      <c r="D460" s="184" t="s">
        <v>68</v>
      </c>
      <c r="E460" s="184" t="s">
        <v>96</v>
      </c>
      <c r="F460" s="182">
        <v>45205</v>
      </c>
      <c r="G460" s="186" t="s">
        <v>115</v>
      </c>
      <c r="H460" s="184" t="s">
        <v>76</v>
      </c>
      <c r="T460" s="184" t="s">
        <v>379</v>
      </c>
    </row>
    <row r="461" spans="1:20">
      <c r="A461" s="182">
        <v>45181</v>
      </c>
      <c r="B461" s="183">
        <v>0.56920138888888883</v>
      </c>
      <c r="C461" s="184" t="s">
        <v>73</v>
      </c>
      <c r="D461" s="184" t="s">
        <v>68</v>
      </c>
      <c r="E461" s="184" t="s">
        <v>96</v>
      </c>
      <c r="F461" s="182">
        <v>45236</v>
      </c>
      <c r="G461" s="186" t="s">
        <v>94</v>
      </c>
      <c r="H461" s="184" t="s">
        <v>190</v>
      </c>
      <c r="T461" s="275" t="s">
        <v>379</v>
      </c>
    </row>
    <row r="462" spans="1:20">
      <c r="A462" s="182">
        <v>45181</v>
      </c>
      <c r="B462" s="183">
        <v>0.68123842592592598</v>
      </c>
      <c r="C462" s="184" t="s">
        <v>67</v>
      </c>
      <c r="D462" s="184" t="s">
        <v>68</v>
      </c>
      <c r="E462" s="184" t="s">
        <v>1060</v>
      </c>
      <c r="F462" s="182">
        <v>45279</v>
      </c>
      <c r="G462" s="186" t="s">
        <v>94</v>
      </c>
      <c r="H462" s="184" t="s">
        <v>261</v>
      </c>
      <c r="T462" s="184" t="s">
        <v>1130</v>
      </c>
    </row>
    <row r="463" spans="1:20">
      <c r="A463" s="182">
        <v>45182</v>
      </c>
      <c r="B463" s="183">
        <v>0.38613425925925932</v>
      </c>
      <c r="C463" s="184" t="s">
        <v>67</v>
      </c>
      <c r="D463" s="184" t="s">
        <v>68</v>
      </c>
      <c r="E463" s="184" t="s">
        <v>1060</v>
      </c>
      <c r="F463" s="182">
        <v>45279</v>
      </c>
      <c r="G463" s="186" t="s">
        <v>94</v>
      </c>
      <c r="H463" s="184" t="s">
        <v>260</v>
      </c>
      <c r="T463" s="184" t="s">
        <v>1123</v>
      </c>
    </row>
    <row r="464" spans="1:20">
      <c r="A464" s="182">
        <v>45183</v>
      </c>
      <c r="B464" s="183">
        <v>0.40285879629629634</v>
      </c>
      <c r="C464" s="184" t="s">
        <v>67</v>
      </c>
      <c r="D464" s="184" t="s">
        <v>68</v>
      </c>
      <c r="E464" s="184" t="s">
        <v>89</v>
      </c>
      <c r="F464" s="182">
        <v>45240</v>
      </c>
      <c r="G464" s="186" t="s">
        <v>112</v>
      </c>
      <c r="H464" s="184" t="s">
        <v>101</v>
      </c>
      <c r="T464" s="184" t="s">
        <v>118</v>
      </c>
    </row>
    <row r="465" spans="1:20">
      <c r="A465" s="182">
        <v>45183</v>
      </c>
      <c r="B465" s="183">
        <v>0.44672453703703702</v>
      </c>
      <c r="C465" s="184" t="s">
        <v>67</v>
      </c>
      <c r="D465" s="184" t="s">
        <v>91</v>
      </c>
      <c r="E465" s="184" t="s">
        <v>96</v>
      </c>
      <c r="F465" s="182">
        <v>45205</v>
      </c>
      <c r="G465" s="186" t="s">
        <v>94</v>
      </c>
      <c r="H465" s="184" t="s">
        <v>193</v>
      </c>
    </row>
    <row r="466" spans="1:20">
      <c r="A466" s="182">
        <v>45183</v>
      </c>
      <c r="B466" s="183">
        <v>0.46677083333333336</v>
      </c>
      <c r="C466" s="184" t="s">
        <v>67</v>
      </c>
      <c r="D466" s="184" t="s">
        <v>68</v>
      </c>
      <c r="E466" s="184" t="s">
        <v>96</v>
      </c>
      <c r="F466" s="182">
        <v>45205</v>
      </c>
      <c r="G466" s="186" t="s">
        <v>94</v>
      </c>
      <c r="H466" s="184" t="s">
        <v>87</v>
      </c>
      <c r="T466" s="184" t="s">
        <v>1131</v>
      </c>
    </row>
    <row r="467" spans="1:20">
      <c r="A467" s="182">
        <v>45183</v>
      </c>
      <c r="B467" s="183">
        <v>0.5901157407407408</v>
      </c>
      <c r="C467" s="184" t="s">
        <v>67</v>
      </c>
      <c r="D467" s="184" t="s">
        <v>68</v>
      </c>
      <c r="E467" s="184" t="s">
        <v>96</v>
      </c>
      <c r="F467" s="182">
        <v>45236</v>
      </c>
      <c r="G467" s="186" t="s">
        <v>94</v>
      </c>
      <c r="H467" s="184" t="s">
        <v>206</v>
      </c>
      <c r="T467" s="275" t="s">
        <v>428</v>
      </c>
    </row>
    <row r="468" spans="1:20">
      <c r="A468" s="182">
        <v>45183</v>
      </c>
      <c r="B468" s="183">
        <v>0.5904166666666667</v>
      </c>
      <c r="C468" s="184" t="s">
        <v>67</v>
      </c>
      <c r="D468" s="184" t="s">
        <v>68</v>
      </c>
      <c r="E468" s="184" t="s">
        <v>45</v>
      </c>
      <c r="F468" s="182">
        <v>45247</v>
      </c>
      <c r="G468" s="186" t="s">
        <v>94</v>
      </c>
      <c r="H468" s="184" t="s">
        <v>308</v>
      </c>
      <c r="T468" s="184" t="s">
        <v>428</v>
      </c>
    </row>
    <row r="469" spans="1:20">
      <c r="A469" s="182">
        <v>45183</v>
      </c>
      <c r="B469" s="183">
        <v>0.70532407407407405</v>
      </c>
      <c r="C469" s="184" t="s">
        <v>67</v>
      </c>
      <c r="D469" s="184" t="s">
        <v>68</v>
      </c>
      <c r="E469" s="184" t="s">
        <v>96</v>
      </c>
      <c r="F469" s="182">
        <v>45236</v>
      </c>
      <c r="G469" s="186" t="s">
        <v>94</v>
      </c>
      <c r="H469" s="184" t="s">
        <v>209</v>
      </c>
      <c r="T469" s="275" t="s">
        <v>118</v>
      </c>
    </row>
    <row r="470" spans="1:20">
      <c r="A470" s="182">
        <v>45184</v>
      </c>
      <c r="B470" s="183">
        <v>0.39903935185185185</v>
      </c>
      <c r="C470" s="184" t="s">
        <v>67</v>
      </c>
      <c r="D470" s="184" t="s">
        <v>68</v>
      </c>
      <c r="E470" s="184" t="s">
        <v>69</v>
      </c>
      <c r="F470" s="182">
        <v>45205</v>
      </c>
      <c r="G470" s="186" t="s">
        <v>94</v>
      </c>
      <c r="H470" s="184" t="s">
        <v>259</v>
      </c>
      <c r="T470" s="184" t="s">
        <v>1132</v>
      </c>
    </row>
    <row r="471" spans="1:20">
      <c r="A471" s="182">
        <v>45184</v>
      </c>
      <c r="B471" s="183">
        <v>0.46664351851851849</v>
      </c>
      <c r="C471" s="184" t="s">
        <v>67</v>
      </c>
      <c r="D471" s="184" t="s">
        <v>91</v>
      </c>
      <c r="E471" s="184" t="s">
        <v>45</v>
      </c>
      <c r="F471" s="182">
        <v>45192</v>
      </c>
      <c r="G471" s="186" t="s">
        <v>99</v>
      </c>
      <c r="H471" s="184" t="s">
        <v>285</v>
      </c>
    </row>
    <row r="472" spans="1:20">
      <c r="A472" s="182">
        <v>45184</v>
      </c>
      <c r="B472" s="183">
        <v>0.5965625</v>
      </c>
      <c r="C472" s="184" t="s">
        <v>73</v>
      </c>
      <c r="D472" s="184" t="s">
        <v>91</v>
      </c>
      <c r="E472" s="184" t="s">
        <v>69</v>
      </c>
      <c r="F472" s="182">
        <v>45205</v>
      </c>
      <c r="G472" s="186" t="s">
        <v>75</v>
      </c>
      <c r="H472" s="184" t="s">
        <v>92</v>
      </c>
    </row>
    <row r="473" spans="1:20">
      <c r="A473" s="182">
        <v>45184</v>
      </c>
      <c r="B473" s="183">
        <v>0.59666666666666668</v>
      </c>
      <c r="C473" s="184" t="s">
        <v>73</v>
      </c>
      <c r="D473" s="184" t="s">
        <v>91</v>
      </c>
      <c r="E473" s="184" t="s">
        <v>85</v>
      </c>
      <c r="F473" s="182">
        <v>45261</v>
      </c>
      <c r="G473" s="186" t="s">
        <v>70</v>
      </c>
      <c r="H473" s="184" t="s">
        <v>93</v>
      </c>
    </row>
    <row r="474" spans="1:20">
      <c r="A474" s="182">
        <v>45184</v>
      </c>
      <c r="B474" s="183">
        <v>0.63373842592592589</v>
      </c>
      <c r="C474" s="184" t="s">
        <v>67</v>
      </c>
      <c r="D474" s="184" t="s">
        <v>91</v>
      </c>
      <c r="E474" s="184" t="s">
        <v>89</v>
      </c>
      <c r="F474" s="182">
        <v>45240</v>
      </c>
      <c r="G474" s="186" t="s">
        <v>70</v>
      </c>
      <c r="H474" s="184" t="s">
        <v>93</v>
      </c>
    </row>
    <row r="475" spans="1:20">
      <c r="A475" s="182">
        <v>45184</v>
      </c>
      <c r="B475" s="183">
        <v>0.63431712962962961</v>
      </c>
      <c r="C475" s="184" t="s">
        <v>67</v>
      </c>
      <c r="D475" s="184" t="s">
        <v>78</v>
      </c>
      <c r="E475" s="184" t="s">
        <v>45</v>
      </c>
      <c r="F475" s="182">
        <v>45192</v>
      </c>
      <c r="G475" s="186" t="s">
        <v>94</v>
      </c>
      <c r="H475" s="184" t="s">
        <v>297</v>
      </c>
    </row>
    <row r="476" spans="1:20">
      <c r="A476" s="182">
        <v>45188</v>
      </c>
      <c r="B476" s="183">
        <v>0.49354166666666671</v>
      </c>
      <c r="C476" s="184" t="s">
        <v>67</v>
      </c>
      <c r="D476" s="184" t="s">
        <v>68</v>
      </c>
      <c r="E476" s="184" t="s">
        <v>96</v>
      </c>
      <c r="F476" s="182">
        <v>45236</v>
      </c>
      <c r="G476" s="186" t="s">
        <v>94</v>
      </c>
      <c r="H476" s="184" t="s">
        <v>272</v>
      </c>
      <c r="T476" s="275" t="s">
        <v>944</v>
      </c>
    </row>
    <row r="477" spans="1:20">
      <c r="A477" s="182">
        <v>45188</v>
      </c>
      <c r="B477" s="183">
        <v>0.49425925925925923</v>
      </c>
      <c r="C477" s="184" t="s">
        <v>67</v>
      </c>
      <c r="D477" s="184" t="s">
        <v>68</v>
      </c>
      <c r="E477" s="184" t="s">
        <v>124</v>
      </c>
      <c r="F477" s="182">
        <v>45252</v>
      </c>
      <c r="G477" s="186" t="s">
        <v>94</v>
      </c>
      <c r="H477" s="184" t="s">
        <v>260</v>
      </c>
      <c r="T477" s="184" t="s">
        <v>944</v>
      </c>
    </row>
    <row r="478" spans="1:20">
      <c r="A478" s="182">
        <v>45189</v>
      </c>
      <c r="B478" s="183">
        <v>0.5941319444444445</v>
      </c>
      <c r="C478" s="184" t="s">
        <v>73</v>
      </c>
      <c r="D478" s="184" t="s">
        <v>68</v>
      </c>
      <c r="E478" s="184" t="s">
        <v>19</v>
      </c>
      <c r="F478" s="182">
        <v>45211</v>
      </c>
      <c r="G478" s="186" t="s">
        <v>99</v>
      </c>
      <c r="H478" s="184" t="s">
        <v>239</v>
      </c>
      <c r="T478" s="184" t="s">
        <v>234</v>
      </c>
    </row>
    <row r="479" spans="1:20">
      <c r="A479" s="182">
        <v>45189</v>
      </c>
      <c r="B479" s="183">
        <v>0.5953356481481481</v>
      </c>
      <c r="C479" s="184" t="s">
        <v>73</v>
      </c>
      <c r="D479" s="184" t="s">
        <v>68</v>
      </c>
      <c r="E479" s="184" t="s">
        <v>19</v>
      </c>
      <c r="F479" s="182">
        <v>45211</v>
      </c>
      <c r="G479" s="186" t="s">
        <v>94</v>
      </c>
      <c r="H479" s="184" t="s">
        <v>241</v>
      </c>
      <c r="T479" s="184" t="s">
        <v>1133</v>
      </c>
    </row>
    <row r="480" spans="1:20">
      <c r="A480" s="182">
        <v>45189</v>
      </c>
      <c r="B480" s="183">
        <v>0.59670138888888891</v>
      </c>
      <c r="C480" s="184" t="s">
        <v>73</v>
      </c>
      <c r="D480" s="184" t="s">
        <v>68</v>
      </c>
      <c r="E480" s="184" t="s">
        <v>45</v>
      </c>
      <c r="F480" s="182">
        <v>45247</v>
      </c>
      <c r="G480" s="186" t="s">
        <v>99</v>
      </c>
      <c r="H480" s="184" t="s">
        <v>185</v>
      </c>
      <c r="T480" s="184" t="s">
        <v>234</v>
      </c>
    </row>
    <row r="481" spans="1:20">
      <c r="A481" s="182">
        <v>45189</v>
      </c>
      <c r="B481" s="183">
        <v>0.59736111111111112</v>
      </c>
      <c r="C481" s="184" t="s">
        <v>73</v>
      </c>
      <c r="D481" s="184" t="s">
        <v>68</v>
      </c>
      <c r="E481" s="184" t="s">
        <v>45</v>
      </c>
      <c r="F481" s="182">
        <v>45247</v>
      </c>
      <c r="G481" s="186" t="s">
        <v>94</v>
      </c>
      <c r="H481" s="184" t="s">
        <v>308</v>
      </c>
      <c r="T481" s="184" t="s">
        <v>234</v>
      </c>
    </row>
    <row r="482" spans="1:20">
      <c r="A482" s="182">
        <v>45189</v>
      </c>
      <c r="B482" s="183">
        <v>0.59819444444444447</v>
      </c>
      <c r="C482" s="184" t="s">
        <v>73</v>
      </c>
      <c r="D482" s="184" t="s">
        <v>68</v>
      </c>
      <c r="E482" s="184" t="s">
        <v>96</v>
      </c>
      <c r="F482" s="182">
        <v>45236</v>
      </c>
      <c r="G482" s="186" t="s">
        <v>94</v>
      </c>
      <c r="H482" s="184" t="s">
        <v>213</v>
      </c>
      <c r="T482" s="275" t="s">
        <v>1134</v>
      </c>
    </row>
    <row r="483" spans="1:20">
      <c r="A483" s="182">
        <v>45190</v>
      </c>
      <c r="B483" s="183">
        <v>0.56746527777777778</v>
      </c>
      <c r="C483" s="184" t="s">
        <v>67</v>
      </c>
      <c r="D483" s="184" t="s">
        <v>68</v>
      </c>
      <c r="E483" s="184" t="s">
        <v>19</v>
      </c>
      <c r="F483" s="182">
        <v>45211</v>
      </c>
      <c r="G483" s="186" t="s">
        <v>99</v>
      </c>
      <c r="H483" s="184" t="s">
        <v>239</v>
      </c>
      <c r="T483" s="184" t="s">
        <v>234</v>
      </c>
    </row>
    <row r="484" spans="1:20">
      <c r="A484" s="182">
        <v>45190</v>
      </c>
      <c r="B484" s="183">
        <v>0.56787037037037036</v>
      </c>
      <c r="C484" s="184" t="s">
        <v>67</v>
      </c>
      <c r="D484" s="184" t="s">
        <v>68</v>
      </c>
      <c r="E484" s="184" t="s">
        <v>19</v>
      </c>
      <c r="F484" s="182">
        <v>45274</v>
      </c>
      <c r="G484" s="186" t="s">
        <v>94</v>
      </c>
      <c r="H484" s="184" t="s">
        <v>76</v>
      </c>
      <c r="T484" s="184" t="s">
        <v>234</v>
      </c>
    </row>
    <row r="485" spans="1:20">
      <c r="A485" s="182">
        <v>45190</v>
      </c>
      <c r="B485" s="183">
        <v>0.56929398148148147</v>
      </c>
      <c r="C485" s="184" t="s">
        <v>67</v>
      </c>
      <c r="D485" s="184" t="s">
        <v>78</v>
      </c>
      <c r="E485" s="184" t="s">
        <v>19</v>
      </c>
      <c r="F485" s="182">
        <v>45211</v>
      </c>
      <c r="G485" s="186" t="s">
        <v>94</v>
      </c>
      <c r="H485" s="184" t="s">
        <v>82</v>
      </c>
    </row>
    <row r="486" spans="1:20">
      <c r="A486" s="182">
        <v>45191</v>
      </c>
      <c r="B486" s="183">
        <v>0.44747685185185188</v>
      </c>
      <c r="C486" s="184" t="s">
        <v>67</v>
      </c>
      <c r="D486" s="184" t="s">
        <v>68</v>
      </c>
      <c r="E486" s="184" t="s">
        <v>45</v>
      </c>
      <c r="F486" s="182">
        <v>45247</v>
      </c>
      <c r="G486" s="186" t="s">
        <v>94</v>
      </c>
      <c r="H486" s="184" t="s">
        <v>190</v>
      </c>
      <c r="T486" s="184" t="s">
        <v>944</v>
      </c>
    </row>
    <row r="487" spans="1:20">
      <c r="A487" s="182">
        <v>45194</v>
      </c>
      <c r="B487" s="183">
        <v>0.38277777777777783</v>
      </c>
      <c r="C487" s="184" t="s">
        <v>67</v>
      </c>
      <c r="D487" s="184" t="s">
        <v>68</v>
      </c>
      <c r="E487" s="184" t="s">
        <v>19</v>
      </c>
      <c r="F487" s="182">
        <v>45274</v>
      </c>
      <c r="G487" s="186" t="s">
        <v>112</v>
      </c>
      <c r="H487" s="184" t="s">
        <v>103</v>
      </c>
      <c r="T487" s="184" t="s">
        <v>1135</v>
      </c>
    </row>
    <row r="488" spans="1:20">
      <c r="A488" s="182">
        <v>45194</v>
      </c>
      <c r="B488" s="183">
        <v>0.38422453703703702</v>
      </c>
      <c r="C488" s="184" t="s">
        <v>67</v>
      </c>
      <c r="D488" s="184" t="s">
        <v>68</v>
      </c>
      <c r="E488" s="184" t="s">
        <v>45</v>
      </c>
      <c r="F488" s="182">
        <v>45247</v>
      </c>
      <c r="G488" s="186" t="s">
        <v>83</v>
      </c>
      <c r="H488" s="184" t="s">
        <v>213</v>
      </c>
      <c r="T488" s="184" t="s">
        <v>1135</v>
      </c>
    </row>
    <row r="489" spans="1:20">
      <c r="A489" s="182">
        <v>45194</v>
      </c>
      <c r="B489" s="183">
        <v>0.49758101851851855</v>
      </c>
      <c r="C489" s="184" t="s">
        <v>67</v>
      </c>
      <c r="D489" s="184" t="s">
        <v>68</v>
      </c>
      <c r="E489" s="184" t="s">
        <v>124</v>
      </c>
      <c r="F489" s="182">
        <v>45252</v>
      </c>
      <c r="G489" s="186" t="s">
        <v>94</v>
      </c>
      <c r="H489" s="184" t="s">
        <v>256</v>
      </c>
      <c r="T489" s="184" t="s">
        <v>409</v>
      </c>
    </row>
    <row r="490" spans="1:20">
      <c r="A490" s="182">
        <v>45194</v>
      </c>
      <c r="B490" s="183">
        <v>0.53328703703703706</v>
      </c>
      <c r="C490" s="184" t="s">
        <v>67</v>
      </c>
      <c r="D490" s="184" t="s">
        <v>159</v>
      </c>
      <c r="E490" s="184" t="s">
        <v>19</v>
      </c>
      <c r="F490" s="182">
        <v>45274</v>
      </c>
      <c r="G490" s="186" t="s">
        <v>70</v>
      </c>
      <c r="H490" s="184" t="s">
        <v>216</v>
      </c>
    </row>
    <row r="491" spans="1:20">
      <c r="A491" s="182">
        <v>45195</v>
      </c>
      <c r="B491" s="183">
        <v>0.41372685185185182</v>
      </c>
      <c r="C491" s="184" t="s">
        <v>67</v>
      </c>
      <c r="D491" s="184" t="s">
        <v>68</v>
      </c>
      <c r="E491" s="184" t="s">
        <v>96</v>
      </c>
      <c r="F491" s="182">
        <v>45236</v>
      </c>
      <c r="G491" s="186" t="s">
        <v>94</v>
      </c>
      <c r="H491" s="184" t="s">
        <v>225</v>
      </c>
      <c r="T491" s="275" t="s">
        <v>110</v>
      </c>
    </row>
    <row r="492" spans="1:20">
      <c r="A492" s="182">
        <v>45195</v>
      </c>
      <c r="B492" s="183">
        <v>0.5965625</v>
      </c>
      <c r="C492" s="184" t="s">
        <v>67</v>
      </c>
      <c r="D492" s="184" t="s">
        <v>68</v>
      </c>
      <c r="E492" s="184" t="s">
        <v>96</v>
      </c>
      <c r="F492" s="182">
        <v>45236</v>
      </c>
      <c r="G492" s="186" t="s">
        <v>94</v>
      </c>
      <c r="H492" s="184" t="s">
        <v>231</v>
      </c>
      <c r="T492" s="275" t="s">
        <v>411</v>
      </c>
    </row>
    <row r="493" spans="1:20">
      <c r="A493" s="182">
        <v>45197</v>
      </c>
      <c r="B493" s="183">
        <v>0.44807870370370373</v>
      </c>
      <c r="C493" s="184" t="s">
        <v>73</v>
      </c>
      <c r="D493" s="184" t="s">
        <v>68</v>
      </c>
      <c r="E493" s="184" t="s">
        <v>96</v>
      </c>
      <c r="F493" s="182">
        <v>45236</v>
      </c>
      <c r="G493" s="186" t="s">
        <v>94</v>
      </c>
      <c r="H493" s="184" t="s">
        <v>239</v>
      </c>
      <c r="T493" s="275" t="s">
        <v>933</v>
      </c>
    </row>
    <row r="494" spans="1:20">
      <c r="A494" s="182">
        <v>45198</v>
      </c>
      <c r="B494" s="183">
        <v>0.5564930555555555</v>
      </c>
      <c r="C494" s="184" t="s">
        <v>73</v>
      </c>
      <c r="D494" s="184" t="s">
        <v>68</v>
      </c>
      <c r="E494" s="184" t="s">
        <v>96</v>
      </c>
      <c r="F494" s="182">
        <v>45236</v>
      </c>
      <c r="G494" s="186" t="s">
        <v>94</v>
      </c>
      <c r="H494" s="184" t="s">
        <v>241</v>
      </c>
      <c r="T494" s="275" t="s">
        <v>1136</v>
      </c>
    </row>
    <row r="495" spans="1:20">
      <c r="A495" s="182">
        <v>45201</v>
      </c>
      <c r="B495" s="183">
        <v>0.40940972222222222</v>
      </c>
      <c r="C495" s="184" t="s">
        <v>67</v>
      </c>
      <c r="D495" s="184" t="s">
        <v>78</v>
      </c>
      <c r="E495" s="184" t="s">
        <v>1060</v>
      </c>
      <c r="F495" s="182">
        <v>45279</v>
      </c>
      <c r="G495" s="186" t="s">
        <v>112</v>
      </c>
      <c r="H495" s="184" t="s">
        <v>268</v>
      </c>
    </row>
    <row r="496" spans="1:20">
      <c r="A496" s="182">
        <v>45201</v>
      </c>
      <c r="B496" s="183">
        <v>0.40978009259259257</v>
      </c>
      <c r="C496" s="184" t="s">
        <v>67</v>
      </c>
      <c r="D496" s="184" t="s">
        <v>78</v>
      </c>
      <c r="E496" s="184" t="s">
        <v>124</v>
      </c>
      <c r="F496" s="182">
        <v>45252</v>
      </c>
      <c r="G496" s="186" t="s">
        <v>94</v>
      </c>
      <c r="H496" s="184" t="s">
        <v>288</v>
      </c>
    </row>
    <row r="497" spans="1:20">
      <c r="A497" s="182">
        <v>45201</v>
      </c>
      <c r="B497" s="183">
        <v>0.41037037037037033</v>
      </c>
      <c r="C497" s="184" t="s">
        <v>67</v>
      </c>
      <c r="D497" s="184" t="s">
        <v>91</v>
      </c>
      <c r="E497" s="184" t="s">
        <v>19</v>
      </c>
      <c r="F497" s="182">
        <v>45211</v>
      </c>
      <c r="G497" s="186" t="s">
        <v>99</v>
      </c>
      <c r="H497" s="184" t="s">
        <v>229</v>
      </c>
    </row>
    <row r="498" spans="1:20">
      <c r="A498" s="182">
        <v>45201</v>
      </c>
      <c r="B498" s="183">
        <v>0.41063657407407406</v>
      </c>
      <c r="C498" s="184" t="s">
        <v>67</v>
      </c>
      <c r="D498" s="184" t="s">
        <v>91</v>
      </c>
      <c r="E498" s="184" t="s">
        <v>19</v>
      </c>
      <c r="F498" s="182">
        <v>45274</v>
      </c>
      <c r="G498" s="186" t="s">
        <v>70</v>
      </c>
      <c r="H498" s="184" t="s">
        <v>93</v>
      </c>
    </row>
    <row r="499" spans="1:20">
      <c r="A499" s="182">
        <v>45201</v>
      </c>
      <c r="B499" s="183">
        <v>0.41224537037037035</v>
      </c>
      <c r="C499" s="184" t="s">
        <v>67</v>
      </c>
      <c r="D499" s="184" t="s">
        <v>78</v>
      </c>
      <c r="E499" s="184" t="s">
        <v>19</v>
      </c>
      <c r="F499" s="182">
        <v>45211</v>
      </c>
      <c r="G499" s="186" t="s">
        <v>94</v>
      </c>
      <c r="H499" s="184" t="s">
        <v>80</v>
      </c>
    </row>
    <row r="500" spans="1:20">
      <c r="A500" s="182">
        <v>45201</v>
      </c>
      <c r="B500" s="183">
        <v>0.42508101851851854</v>
      </c>
      <c r="C500" s="184" t="s">
        <v>67</v>
      </c>
      <c r="D500" s="184" t="s">
        <v>68</v>
      </c>
      <c r="E500" s="184" t="s">
        <v>96</v>
      </c>
      <c r="F500" s="182">
        <v>45236</v>
      </c>
      <c r="G500" s="186" t="s">
        <v>114</v>
      </c>
      <c r="H500" s="184" t="s">
        <v>521</v>
      </c>
      <c r="T500" s="275" t="s">
        <v>379</v>
      </c>
    </row>
    <row r="501" spans="1:20">
      <c r="A501" s="182">
        <v>45201</v>
      </c>
      <c r="B501" s="183">
        <v>0.45431712962962961</v>
      </c>
      <c r="C501" s="184" t="s">
        <v>67</v>
      </c>
      <c r="D501" s="184" t="s">
        <v>78</v>
      </c>
      <c r="E501" s="184" t="s">
        <v>96</v>
      </c>
      <c r="F501" s="182">
        <v>45236</v>
      </c>
      <c r="G501" s="186" t="s">
        <v>94</v>
      </c>
      <c r="H501" s="184" t="s">
        <v>265</v>
      </c>
    </row>
    <row r="502" spans="1:20">
      <c r="A502" s="182">
        <v>45201</v>
      </c>
      <c r="B502" s="183">
        <v>0.46789351851851851</v>
      </c>
      <c r="C502" s="184" t="s">
        <v>67</v>
      </c>
      <c r="D502" s="184" t="s">
        <v>68</v>
      </c>
      <c r="E502" s="184" t="s">
        <v>96</v>
      </c>
      <c r="F502" s="182">
        <v>45236</v>
      </c>
      <c r="G502" s="186" t="s">
        <v>99</v>
      </c>
      <c r="H502" s="184" t="s">
        <v>245</v>
      </c>
      <c r="T502" s="275" t="s">
        <v>1137</v>
      </c>
    </row>
    <row r="503" spans="1:20">
      <c r="A503" s="182">
        <v>45202</v>
      </c>
      <c r="B503" s="183">
        <v>0.40368055555555554</v>
      </c>
      <c r="C503" s="184" t="s">
        <v>73</v>
      </c>
      <c r="D503" s="184" t="s">
        <v>68</v>
      </c>
      <c r="E503" s="184" t="s">
        <v>19</v>
      </c>
      <c r="F503" s="182">
        <v>45211</v>
      </c>
      <c r="G503" s="186" t="s">
        <v>99</v>
      </c>
      <c r="H503" s="184" t="s">
        <v>231</v>
      </c>
      <c r="T503" s="184" t="s">
        <v>1139</v>
      </c>
    </row>
    <row r="504" spans="1:20">
      <c r="A504" s="182">
        <v>45202</v>
      </c>
      <c r="B504" s="183">
        <v>0.40413194444444445</v>
      </c>
      <c r="C504" s="184" t="s">
        <v>73</v>
      </c>
      <c r="D504" s="184" t="s">
        <v>68</v>
      </c>
      <c r="E504" s="184" t="s">
        <v>19</v>
      </c>
      <c r="F504" s="182">
        <v>45211</v>
      </c>
      <c r="G504" s="186" t="s">
        <v>94</v>
      </c>
      <c r="H504" s="184" t="s">
        <v>239</v>
      </c>
      <c r="T504" s="184" t="s">
        <v>1132</v>
      </c>
    </row>
    <row r="505" spans="1:20">
      <c r="A505" s="182">
        <v>45202</v>
      </c>
      <c r="B505" s="183">
        <v>0.63123842592592594</v>
      </c>
      <c r="C505" s="184" t="s">
        <v>67</v>
      </c>
      <c r="D505" s="184" t="s">
        <v>68</v>
      </c>
      <c r="E505" s="184" t="s">
        <v>124</v>
      </c>
      <c r="F505" s="182">
        <v>45252</v>
      </c>
      <c r="G505" s="186" t="s">
        <v>94</v>
      </c>
      <c r="H505" s="184" t="s">
        <v>305</v>
      </c>
      <c r="T505" s="184" t="s">
        <v>1140</v>
      </c>
    </row>
    <row r="506" spans="1:20">
      <c r="A506" s="182">
        <v>45202</v>
      </c>
      <c r="B506" s="183">
        <v>0.66636574074074073</v>
      </c>
      <c r="C506" s="184" t="s">
        <v>67</v>
      </c>
      <c r="D506" s="184" t="s">
        <v>68</v>
      </c>
      <c r="E506" s="184" t="s">
        <v>96</v>
      </c>
      <c r="F506" s="182">
        <v>45236</v>
      </c>
      <c r="G506" s="186" t="s">
        <v>99</v>
      </c>
      <c r="H506" s="184" t="s">
        <v>241</v>
      </c>
      <c r="T506" s="275" t="s">
        <v>824</v>
      </c>
    </row>
    <row r="507" spans="1:20">
      <c r="A507" s="182">
        <v>45203</v>
      </c>
      <c r="B507" s="183">
        <v>0.63033564814814813</v>
      </c>
      <c r="C507" s="184" t="s">
        <v>73</v>
      </c>
      <c r="D507" s="184" t="s">
        <v>68</v>
      </c>
      <c r="E507" s="184" t="s">
        <v>96</v>
      </c>
      <c r="F507" s="182">
        <v>45236</v>
      </c>
      <c r="G507" s="186" t="s">
        <v>94</v>
      </c>
      <c r="H507" s="184" t="s">
        <v>245</v>
      </c>
      <c r="T507" s="275" t="s">
        <v>1141</v>
      </c>
    </row>
    <row r="508" spans="1:20">
      <c r="A508" s="182">
        <v>45204</v>
      </c>
      <c r="B508" s="183">
        <v>0.57640046296296299</v>
      </c>
      <c r="C508" s="184" t="s">
        <v>67</v>
      </c>
      <c r="D508" s="184" t="s">
        <v>91</v>
      </c>
      <c r="E508" s="184" t="s">
        <v>124</v>
      </c>
      <c r="F508" s="182">
        <v>45252</v>
      </c>
      <c r="G508" s="186" t="s">
        <v>75</v>
      </c>
      <c r="H508" s="184" t="s">
        <v>92</v>
      </c>
    </row>
    <row r="509" spans="1:20">
      <c r="A509" s="182">
        <v>45204</v>
      </c>
      <c r="B509" s="183">
        <v>0.70274305555555561</v>
      </c>
      <c r="C509" s="184" t="s">
        <v>67</v>
      </c>
      <c r="D509" s="184" t="s">
        <v>91</v>
      </c>
      <c r="E509" s="184" t="s">
        <v>96</v>
      </c>
      <c r="F509" s="182">
        <v>45236</v>
      </c>
      <c r="G509" s="186" t="s">
        <v>982</v>
      </c>
      <c r="H509" s="184" t="s">
        <v>93</v>
      </c>
    </row>
    <row r="510" spans="1:20">
      <c r="A510" s="182">
        <v>45204</v>
      </c>
      <c r="B510" s="183">
        <v>0.70287037037037037</v>
      </c>
      <c r="C510" s="184" t="s">
        <v>67</v>
      </c>
      <c r="D510" s="184" t="s">
        <v>91</v>
      </c>
      <c r="E510" s="184" t="s">
        <v>96</v>
      </c>
      <c r="F510" s="182">
        <v>45236</v>
      </c>
      <c r="G510" s="186" t="s">
        <v>114</v>
      </c>
      <c r="H510" s="184" t="s">
        <v>227</v>
      </c>
    </row>
    <row r="511" spans="1:20">
      <c r="A511" s="182">
        <v>45205</v>
      </c>
      <c r="B511" s="183">
        <v>0.42556712962962967</v>
      </c>
      <c r="C511" s="184" t="s">
        <v>73</v>
      </c>
      <c r="D511" s="184" t="s">
        <v>68</v>
      </c>
      <c r="E511" s="184" t="s">
        <v>1060</v>
      </c>
      <c r="F511" s="182">
        <v>45279</v>
      </c>
      <c r="G511" s="186" t="s">
        <v>94</v>
      </c>
      <c r="H511" s="184" t="s">
        <v>256</v>
      </c>
      <c r="T511" s="184" t="s">
        <v>1142</v>
      </c>
    </row>
    <row r="512" spans="1:20">
      <c r="A512" s="182">
        <v>45205</v>
      </c>
      <c r="B512" s="183">
        <v>0.44663194444444443</v>
      </c>
      <c r="C512" s="184" t="s">
        <v>73</v>
      </c>
      <c r="D512" s="184" t="s">
        <v>68</v>
      </c>
      <c r="E512" s="184" t="s">
        <v>1060</v>
      </c>
      <c r="F512" s="182">
        <v>45230</v>
      </c>
      <c r="G512" s="186" t="s">
        <v>99</v>
      </c>
      <c r="H512" s="184" t="s">
        <v>237</v>
      </c>
      <c r="T512" s="184" t="s">
        <v>257</v>
      </c>
    </row>
    <row r="513" spans="1:20">
      <c r="A513" s="182">
        <v>45205</v>
      </c>
      <c r="B513" s="183">
        <v>0.45415509259259257</v>
      </c>
      <c r="C513" s="184" t="s">
        <v>73</v>
      </c>
      <c r="D513" s="184" t="s">
        <v>91</v>
      </c>
      <c r="E513" s="184" t="s">
        <v>1060</v>
      </c>
      <c r="F513" s="182">
        <v>45230</v>
      </c>
      <c r="G513" s="186" t="s">
        <v>94</v>
      </c>
      <c r="H513" s="184" t="s">
        <v>229</v>
      </c>
    </row>
    <row r="514" spans="1:20">
      <c r="A514" s="182">
        <v>45205</v>
      </c>
      <c r="B514" s="183">
        <v>0.60250000000000004</v>
      </c>
      <c r="C514" s="184" t="s">
        <v>73</v>
      </c>
      <c r="D514" s="184" t="s">
        <v>68</v>
      </c>
      <c r="E514" s="184" t="s">
        <v>85</v>
      </c>
      <c r="F514" s="182">
        <v>45261</v>
      </c>
      <c r="G514" s="186" t="s">
        <v>75</v>
      </c>
      <c r="H514" s="184" t="s">
        <v>76</v>
      </c>
      <c r="T514" s="184" t="s">
        <v>1143</v>
      </c>
    </row>
    <row r="515" spans="1:20">
      <c r="A515" s="182">
        <v>45205</v>
      </c>
      <c r="B515" s="183">
        <v>0.69057870370370367</v>
      </c>
      <c r="C515" s="184" t="s">
        <v>73</v>
      </c>
      <c r="D515" s="184" t="s">
        <v>68</v>
      </c>
      <c r="E515" s="184" t="s">
        <v>85</v>
      </c>
      <c r="F515" s="182">
        <v>45261</v>
      </c>
      <c r="G515" s="186" t="s">
        <v>94</v>
      </c>
      <c r="H515" s="184" t="s">
        <v>87</v>
      </c>
      <c r="T515" s="184" t="s">
        <v>1144</v>
      </c>
    </row>
    <row r="516" spans="1:20">
      <c r="A516" s="182">
        <v>45209</v>
      </c>
      <c r="B516" s="183">
        <v>0.3782638888888889</v>
      </c>
      <c r="C516" s="184" t="s">
        <v>67</v>
      </c>
      <c r="D516" s="184" t="s">
        <v>68</v>
      </c>
      <c r="E516" s="184" t="s">
        <v>19</v>
      </c>
      <c r="F516" s="182">
        <v>45211</v>
      </c>
      <c r="G516" s="186" t="s">
        <v>99</v>
      </c>
      <c r="H516" s="184" t="s">
        <v>231</v>
      </c>
      <c r="T516" s="184" t="s">
        <v>74</v>
      </c>
    </row>
    <row r="517" spans="1:20">
      <c r="A517" s="182">
        <v>45209</v>
      </c>
      <c r="B517" s="183">
        <v>0.37890046296296293</v>
      </c>
      <c r="C517" s="184" t="s">
        <v>67</v>
      </c>
      <c r="D517" s="184" t="s">
        <v>68</v>
      </c>
      <c r="E517" s="184" t="s">
        <v>19</v>
      </c>
      <c r="F517" s="182">
        <v>44976</v>
      </c>
      <c r="G517" s="186" t="s">
        <v>70</v>
      </c>
      <c r="H517" s="184" t="s">
        <v>71</v>
      </c>
      <c r="T517" s="184" t="s">
        <v>1145</v>
      </c>
    </row>
    <row r="518" spans="1:20">
      <c r="A518" s="182">
        <v>45209</v>
      </c>
      <c r="B518" s="183">
        <v>0.41766203703703703</v>
      </c>
      <c r="C518" s="184" t="s">
        <v>67</v>
      </c>
      <c r="D518" s="184" t="s">
        <v>68</v>
      </c>
      <c r="E518" s="184" t="s">
        <v>45</v>
      </c>
      <c r="F518" s="182">
        <v>45247</v>
      </c>
      <c r="G518" s="186" t="s">
        <v>94</v>
      </c>
      <c r="H518" s="184" t="s">
        <v>225</v>
      </c>
      <c r="T518" s="184" t="s">
        <v>110</v>
      </c>
    </row>
    <row r="519" spans="1:20">
      <c r="A519" s="182">
        <v>45209</v>
      </c>
      <c r="B519" s="183">
        <v>0.44363425925925926</v>
      </c>
      <c r="C519" s="184" t="s">
        <v>67</v>
      </c>
      <c r="D519" s="184" t="s">
        <v>91</v>
      </c>
      <c r="E519" s="184" t="s">
        <v>96</v>
      </c>
      <c r="F519" s="182">
        <v>45236</v>
      </c>
      <c r="G519" s="186" t="s">
        <v>94</v>
      </c>
      <c r="H519" s="184" t="s">
        <v>285</v>
      </c>
    </row>
    <row r="520" spans="1:20">
      <c r="A520" s="182">
        <v>45209</v>
      </c>
      <c r="B520" s="183">
        <v>0.44653935185185184</v>
      </c>
      <c r="C520" s="184" t="s">
        <v>67</v>
      </c>
      <c r="D520" s="184" t="s">
        <v>91</v>
      </c>
      <c r="E520" s="184" t="s">
        <v>124</v>
      </c>
      <c r="F520" s="182">
        <v>45252</v>
      </c>
      <c r="G520" s="186" t="s">
        <v>94</v>
      </c>
      <c r="H520" s="184" t="s">
        <v>227</v>
      </c>
    </row>
    <row r="521" spans="1:20">
      <c r="A521" s="182">
        <v>45210</v>
      </c>
      <c r="B521" s="183">
        <v>0.63247685185185187</v>
      </c>
      <c r="C521" s="184" t="s">
        <v>73</v>
      </c>
      <c r="D521" s="184" t="s">
        <v>78</v>
      </c>
      <c r="E521" s="184" t="s">
        <v>96</v>
      </c>
      <c r="F521" s="182">
        <v>45236</v>
      </c>
      <c r="G521" s="186" t="s">
        <v>83</v>
      </c>
      <c r="H521" s="184" t="s">
        <v>82</v>
      </c>
    </row>
    <row r="522" spans="1:20">
      <c r="A522" s="182">
        <v>45211</v>
      </c>
      <c r="B522" s="183">
        <v>0.4536458333333333</v>
      </c>
      <c r="C522" s="184" t="s">
        <v>67</v>
      </c>
      <c r="D522" s="184" t="s">
        <v>68</v>
      </c>
      <c r="E522" s="184" t="s">
        <v>19</v>
      </c>
      <c r="F522" s="182">
        <v>45274</v>
      </c>
      <c r="G522" s="186" t="s">
        <v>94</v>
      </c>
      <c r="H522" s="184" t="s">
        <v>182</v>
      </c>
      <c r="T522" s="184" t="s">
        <v>234</v>
      </c>
    </row>
    <row r="523" spans="1:20">
      <c r="A523" s="182">
        <v>45211</v>
      </c>
      <c r="B523" s="183">
        <v>0.49684027777777778</v>
      </c>
      <c r="C523" s="184" t="s">
        <v>67</v>
      </c>
      <c r="D523" s="184" t="s">
        <v>68</v>
      </c>
      <c r="E523" s="184" t="s">
        <v>45</v>
      </c>
      <c r="F523" s="182">
        <v>45247</v>
      </c>
      <c r="G523" s="186" t="s">
        <v>112</v>
      </c>
      <c r="H523" s="184" t="s">
        <v>241</v>
      </c>
      <c r="T523" s="184" t="s">
        <v>424</v>
      </c>
    </row>
    <row r="524" spans="1:20">
      <c r="A524" s="182">
        <v>45212</v>
      </c>
      <c r="B524" s="183">
        <v>0.41480324074074071</v>
      </c>
      <c r="C524" s="184" t="s">
        <v>67</v>
      </c>
      <c r="D524" s="184" t="s">
        <v>68</v>
      </c>
      <c r="E524" s="184" t="s">
        <v>124</v>
      </c>
      <c r="F524" s="182">
        <v>45252</v>
      </c>
      <c r="G524" s="186" t="s">
        <v>94</v>
      </c>
      <c r="H524" s="184" t="s">
        <v>322</v>
      </c>
      <c r="T524" s="184" t="s">
        <v>1140</v>
      </c>
    </row>
    <row r="525" spans="1:20">
      <c r="A525" s="182">
        <v>45212</v>
      </c>
      <c r="B525" s="183">
        <v>0.49234953703703704</v>
      </c>
      <c r="C525" s="184" t="s">
        <v>67</v>
      </c>
      <c r="D525" s="184" t="s">
        <v>68</v>
      </c>
      <c r="E525" s="184" t="s">
        <v>96</v>
      </c>
      <c r="F525" s="182">
        <v>45236</v>
      </c>
      <c r="G525" s="186" t="s">
        <v>99</v>
      </c>
      <c r="H525" s="184" t="s">
        <v>241</v>
      </c>
      <c r="T525" s="184" t="s">
        <v>379</v>
      </c>
    </row>
    <row r="526" spans="1:20">
      <c r="A526" s="182">
        <v>45212</v>
      </c>
      <c r="B526" s="183">
        <v>0.55104166666666665</v>
      </c>
      <c r="C526" s="184" t="s">
        <v>67</v>
      </c>
      <c r="D526" s="184" t="s">
        <v>68</v>
      </c>
      <c r="E526" s="184" t="s">
        <v>124</v>
      </c>
      <c r="F526" s="182">
        <v>45252</v>
      </c>
      <c r="G526" s="186" t="s">
        <v>94</v>
      </c>
      <c r="H526" s="184" t="s">
        <v>185</v>
      </c>
      <c r="T526" s="184" t="s">
        <v>1146</v>
      </c>
    </row>
    <row r="527" spans="1:20">
      <c r="A527" s="182">
        <v>45212</v>
      </c>
      <c r="B527" s="183">
        <v>0.61842592592592593</v>
      </c>
      <c r="C527" s="184" t="s">
        <v>67</v>
      </c>
      <c r="D527" s="184" t="s">
        <v>68</v>
      </c>
      <c r="E527" s="184" t="s">
        <v>1060</v>
      </c>
      <c r="F527" s="182">
        <v>45230</v>
      </c>
      <c r="G527" s="186" t="s">
        <v>99</v>
      </c>
      <c r="H527" s="184" t="s">
        <v>247</v>
      </c>
      <c r="T527" s="184" t="s">
        <v>951</v>
      </c>
    </row>
    <row r="528" spans="1:20">
      <c r="A528" s="182">
        <v>45216</v>
      </c>
      <c r="B528" s="183">
        <v>0.42107638888888888</v>
      </c>
      <c r="C528" s="184" t="s">
        <v>67</v>
      </c>
      <c r="D528" s="184" t="s">
        <v>68</v>
      </c>
      <c r="E528" s="184" t="s">
        <v>1060</v>
      </c>
      <c r="F528" s="182">
        <v>45279</v>
      </c>
      <c r="G528" s="186" t="s">
        <v>94</v>
      </c>
      <c r="H528" s="184" t="s">
        <v>305</v>
      </c>
      <c r="T528" s="184" t="s">
        <v>77</v>
      </c>
    </row>
    <row r="529" spans="1:20">
      <c r="A529" s="182">
        <v>45216</v>
      </c>
      <c r="B529" s="183">
        <v>0.59325231481481489</v>
      </c>
      <c r="C529" s="184" t="s">
        <v>67</v>
      </c>
      <c r="D529" s="184" t="s">
        <v>68</v>
      </c>
      <c r="E529" s="184" t="s">
        <v>124</v>
      </c>
      <c r="F529" s="182">
        <v>45252</v>
      </c>
      <c r="G529" s="186" t="s">
        <v>1147</v>
      </c>
      <c r="H529" s="184" t="s">
        <v>245</v>
      </c>
      <c r="T529" s="184" t="s">
        <v>163</v>
      </c>
    </row>
    <row r="530" spans="1:20">
      <c r="A530" s="182">
        <v>45216</v>
      </c>
      <c r="B530" s="183">
        <v>0.66701388888888891</v>
      </c>
      <c r="C530" s="184" t="s">
        <v>67</v>
      </c>
      <c r="D530" s="184" t="s">
        <v>68</v>
      </c>
      <c r="E530" s="184" t="s">
        <v>96</v>
      </c>
      <c r="F530" s="182">
        <v>45236</v>
      </c>
      <c r="G530" s="186" t="s">
        <v>115</v>
      </c>
      <c r="H530" s="184" t="s">
        <v>231</v>
      </c>
      <c r="T530" s="275" t="s">
        <v>138</v>
      </c>
    </row>
    <row r="531" spans="1:20">
      <c r="A531" s="182">
        <v>45216</v>
      </c>
      <c r="B531" s="183">
        <v>0.7101157407407408</v>
      </c>
      <c r="C531" s="184" t="s">
        <v>67</v>
      </c>
      <c r="D531" s="184" t="s">
        <v>68</v>
      </c>
      <c r="E531" s="184" t="s">
        <v>45</v>
      </c>
      <c r="F531" s="182">
        <v>45247</v>
      </c>
      <c r="G531" s="186" t="s">
        <v>114</v>
      </c>
      <c r="H531" s="184" t="s">
        <v>521</v>
      </c>
      <c r="T531" s="184" t="s">
        <v>1046</v>
      </c>
    </row>
    <row r="532" spans="1:20">
      <c r="A532" s="182">
        <v>45217</v>
      </c>
      <c r="B532" s="183">
        <v>0.43555555555555553</v>
      </c>
      <c r="C532" s="184" t="s">
        <v>73</v>
      </c>
      <c r="D532" s="184" t="s">
        <v>68</v>
      </c>
      <c r="E532" s="184" t="s">
        <v>85</v>
      </c>
      <c r="F532" s="182">
        <v>45261</v>
      </c>
      <c r="G532" s="186" t="s">
        <v>94</v>
      </c>
      <c r="H532" s="184" t="s">
        <v>101</v>
      </c>
      <c r="T532" s="184" t="s">
        <v>1148</v>
      </c>
    </row>
    <row r="533" spans="1:20">
      <c r="A533" s="182">
        <v>45217</v>
      </c>
      <c r="B533" s="183">
        <v>0.48888888888888887</v>
      </c>
      <c r="C533" s="184" t="s">
        <v>73</v>
      </c>
      <c r="D533" s="184" t="s">
        <v>68</v>
      </c>
      <c r="E533" s="184" t="s">
        <v>96</v>
      </c>
      <c r="F533" s="182">
        <v>45236</v>
      </c>
      <c r="G533" s="186" t="s">
        <v>94</v>
      </c>
      <c r="H533" s="184" t="s">
        <v>239</v>
      </c>
      <c r="T533" s="184" t="s">
        <v>455</v>
      </c>
    </row>
    <row r="534" spans="1:20">
      <c r="A534" s="182">
        <v>45217</v>
      </c>
      <c r="B534" s="183">
        <v>0.49430555555555555</v>
      </c>
      <c r="C534" s="184" t="s">
        <v>73</v>
      </c>
      <c r="D534" s="184" t="s">
        <v>68</v>
      </c>
      <c r="E534" s="184" t="s">
        <v>96</v>
      </c>
      <c r="F534" s="182">
        <v>45236</v>
      </c>
      <c r="G534" s="186" t="s">
        <v>94</v>
      </c>
      <c r="H534" s="184" t="s">
        <v>241</v>
      </c>
      <c r="T534" s="184" t="s">
        <v>1149</v>
      </c>
    </row>
    <row r="535" spans="1:20">
      <c r="A535" s="182">
        <v>45217</v>
      </c>
      <c r="B535" s="183">
        <v>0.5909375</v>
      </c>
      <c r="C535" s="184" t="s">
        <v>73</v>
      </c>
      <c r="D535" s="184" t="s">
        <v>68</v>
      </c>
      <c r="E535" s="184" t="s">
        <v>85</v>
      </c>
      <c r="F535" s="182">
        <v>45261</v>
      </c>
      <c r="G535" s="186" t="s">
        <v>94</v>
      </c>
      <c r="H535" s="184" t="s">
        <v>103</v>
      </c>
      <c r="T535" s="184" t="s">
        <v>345</v>
      </c>
    </row>
    <row r="536" spans="1:20">
      <c r="A536" s="182">
        <v>45218</v>
      </c>
      <c r="B536" s="183">
        <v>0.65826388888888887</v>
      </c>
      <c r="C536" s="184" t="s">
        <v>73</v>
      </c>
      <c r="D536" s="184" t="s">
        <v>68</v>
      </c>
      <c r="E536" s="184" t="s">
        <v>1060</v>
      </c>
      <c r="F536" s="182">
        <v>45279</v>
      </c>
      <c r="G536" s="186" t="s">
        <v>94</v>
      </c>
      <c r="H536" s="184" t="s">
        <v>322</v>
      </c>
      <c r="T536" s="184" t="s">
        <v>1001</v>
      </c>
    </row>
    <row r="537" spans="1:20">
      <c r="A537" s="182">
        <v>45219</v>
      </c>
      <c r="B537" s="183">
        <v>0.5550694444444445</v>
      </c>
      <c r="C537" s="184" t="s">
        <v>67</v>
      </c>
      <c r="D537" s="184" t="s">
        <v>68</v>
      </c>
      <c r="E537" s="184" t="s">
        <v>45</v>
      </c>
      <c r="F537" s="182">
        <v>45247</v>
      </c>
      <c r="G537" s="186" t="s">
        <v>114</v>
      </c>
      <c r="H537" s="184" t="s">
        <v>247</v>
      </c>
      <c r="T537" s="184" t="s">
        <v>257</v>
      </c>
    </row>
    <row r="538" spans="1:20">
      <c r="A538" s="182">
        <v>45219</v>
      </c>
      <c r="B538" s="183">
        <v>0.6159027777777778</v>
      </c>
      <c r="C538" s="184" t="s">
        <v>67</v>
      </c>
      <c r="D538" s="184" t="s">
        <v>68</v>
      </c>
      <c r="E538" s="184" t="s">
        <v>85</v>
      </c>
      <c r="F538" s="182">
        <v>45261</v>
      </c>
      <c r="G538" s="186" t="s">
        <v>94</v>
      </c>
      <c r="H538" s="184" t="s">
        <v>182</v>
      </c>
      <c r="T538" s="184" t="s">
        <v>1150</v>
      </c>
    </row>
    <row r="539" spans="1:20">
      <c r="A539" s="182">
        <v>45222</v>
      </c>
      <c r="B539" s="183">
        <v>0.4443981481481481</v>
      </c>
      <c r="C539" s="184" t="s">
        <v>73</v>
      </c>
      <c r="D539" s="184" t="s">
        <v>68</v>
      </c>
      <c r="E539" s="184" t="s">
        <v>85</v>
      </c>
      <c r="F539" s="182">
        <v>45261</v>
      </c>
      <c r="G539" s="186" t="s">
        <v>94</v>
      </c>
      <c r="H539" s="184" t="s">
        <v>117</v>
      </c>
      <c r="T539" s="184" t="s">
        <v>1151</v>
      </c>
    </row>
    <row r="540" spans="1:20">
      <c r="A540" s="182">
        <v>45222</v>
      </c>
      <c r="B540" s="183">
        <v>0.60479166666666673</v>
      </c>
      <c r="C540" s="184" t="s">
        <v>67</v>
      </c>
      <c r="D540" s="184" t="s">
        <v>78</v>
      </c>
      <c r="E540" s="184" t="s">
        <v>89</v>
      </c>
      <c r="F540" s="182">
        <v>45240</v>
      </c>
      <c r="G540" s="186" t="s">
        <v>94</v>
      </c>
      <c r="H540" s="184" t="s">
        <v>106</v>
      </c>
    </row>
    <row r="541" spans="1:20">
      <c r="A541" s="182">
        <v>45222</v>
      </c>
      <c r="B541" s="183">
        <v>0.63932870370370376</v>
      </c>
      <c r="C541" s="184" t="s">
        <v>73</v>
      </c>
      <c r="D541" s="184" t="s">
        <v>91</v>
      </c>
      <c r="E541" s="184" t="s">
        <v>85</v>
      </c>
      <c r="F541" s="182">
        <v>45261</v>
      </c>
      <c r="G541" s="186" t="s">
        <v>94</v>
      </c>
      <c r="H541" s="184" t="s">
        <v>92</v>
      </c>
    </row>
    <row r="542" spans="1:20">
      <c r="A542" s="182">
        <v>45223</v>
      </c>
      <c r="B542" s="183">
        <v>0.61422453703703705</v>
      </c>
      <c r="C542" s="184" t="s">
        <v>67</v>
      </c>
      <c r="D542" s="184" t="s">
        <v>68</v>
      </c>
      <c r="E542" s="184" t="s">
        <v>1060</v>
      </c>
      <c r="F542" s="182">
        <v>45279</v>
      </c>
      <c r="G542" s="186" t="s">
        <v>94</v>
      </c>
      <c r="H542" s="184" t="s">
        <v>185</v>
      </c>
      <c r="T542" s="184" t="s">
        <v>1152</v>
      </c>
    </row>
    <row r="543" spans="1:20">
      <c r="A543" s="182">
        <v>45224</v>
      </c>
      <c r="B543" s="183">
        <v>0.37473379629629627</v>
      </c>
      <c r="C543" s="184" t="s">
        <v>67</v>
      </c>
      <c r="D543" s="184" t="s">
        <v>68</v>
      </c>
      <c r="E543" s="184" t="s">
        <v>45</v>
      </c>
      <c r="F543" s="182">
        <v>45247</v>
      </c>
      <c r="G543" s="186" t="s">
        <v>94</v>
      </c>
      <c r="H543" s="184" t="s">
        <v>237</v>
      </c>
      <c r="T543" s="184" t="s">
        <v>478</v>
      </c>
    </row>
    <row r="544" spans="1:20">
      <c r="A544" s="182">
        <v>45225</v>
      </c>
      <c r="B544" s="183">
        <v>0.49414351851851851</v>
      </c>
      <c r="C544" s="184" t="s">
        <v>67</v>
      </c>
      <c r="D544" s="184" t="s">
        <v>78</v>
      </c>
      <c r="E544" s="184" t="s">
        <v>45</v>
      </c>
      <c r="F544" s="182">
        <v>45247</v>
      </c>
      <c r="G544" s="186" t="s">
        <v>70</v>
      </c>
      <c r="H544" s="184" t="s">
        <v>86</v>
      </c>
    </row>
    <row r="545" spans="1:20">
      <c r="A545" s="182">
        <v>45225</v>
      </c>
      <c r="B545" s="183">
        <v>0.4962847222222222</v>
      </c>
      <c r="C545" s="184" t="s">
        <v>67</v>
      </c>
      <c r="D545" s="184" t="s">
        <v>78</v>
      </c>
      <c r="E545" s="184" t="s">
        <v>19</v>
      </c>
      <c r="F545" s="182">
        <v>45274</v>
      </c>
      <c r="G545" s="186" t="s">
        <v>70</v>
      </c>
      <c r="H545" s="184" t="s">
        <v>86</v>
      </c>
    </row>
    <row r="546" spans="1:20">
      <c r="A546" s="182">
        <v>45225</v>
      </c>
      <c r="B546" s="183">
        <v>0.60354166666666664</v>
      </c>
      <c r="C546" s="184" t="s">
        <v>67</v>
      </c>
      <c r="D546" s="184" t="s">
        <v>68</v>
      </c>
      <c r="E546" s="184" t="s">
        <v>1060</v>
      </c>
      <c r="F546" s="182">
        <v>45279</v>
      </c>
      <c r="G546" s="186" t="s">
        <v>94</v>
      </c>
      <c r="H546" s="184" t="s">
        <v>308</v>
      </c>
      <c r="T546" s="184" t="s">
        <v>1153</v>
      </c>
    </row>
    <row r="547" spans="1:20">
      <c r="A547" s="182">
        <v>45225</v>
      </c>
      <c r="B547" s="183">
        <v>0.61204861111111108</v>
      </c>
      <c r="C547" s="184" t="s">
        <v>67</v>
      </c>
      <c r="D547" s="184" t="s">
        <v>68</v>
      </c>
      <c r="E547" s="184" t="s">
        <v>96</v>
      </c>
      <c r="F547" s="182">
        <v>45236</v>
      </c>
      <c r="G547" s="186" t="s">
        <v>99</v>
      </c>
      <c r="H547" s="184" t="s">
        <v>239</v>
      </c>
      <c r="T547" s="184" t="s">
        <v>234</v>
      </c>
    </row>
    <row r="548" spans="1:20">
      <c r="A548" s="182">
        <v>45229</v>
      </c>
      <c r="B548" s="183">
        <v>0.40013888888888888</v>
      </c>
      <c r="C548" s="184" t="s">
        <v>67</v>
      </c>
      <c r="D548" s="184" t="s">
        <v>91</v>
      </c>
      <c r="E548" s="184" t="s">
        <v>45</v>
      </c>
      <c r="F548" s="182">
        <v>45247</v>
      </c>
      <c r="G548" s="186" t="s">
        <v>114</v>
      </c>
      <c r="H548" s="184" t="s">
        <v>285</v>
      </c>
    </row>
    <row r="549" spans="1:20">
      <c r="A549" s="182">
        <v>45229</v>
      </c>
      <c r="B549" s="183">
        <v>0.40625</v>
      </c>
      <c r="C549" s="184" t="s">
        <v>67</v>
      </c>
      <c r="D549" s="184" t="s">
        <v>68</v>
      </c>
      <c r="E549" s="184" t="s">
        <v>1060</v>
      </c>
      <c r="F549" s="182">
        <v>45279</v>
      </c>
      <c r="G549" s="186" t="s">
        <v>94</v>
      </c>
      <c r="H549" s="184" t="s">
        <v>190</v>
      </c>
      <c r="T549" s="184" t="s">
        <v>1154</v>
      </c>
    </row>
    <row r="550" spans="1:20">
      <c r="A550" s="182">
        <v>45230</v>
      </c>
      <c r="B550" s="183">
        <v>0.39240740740740737</v>
      </c>
      <c r="C550" s="184" t="s">
        <v>73</v>
      </c>
      <c r="D550" s="184" t="s">
        <v>68</v>
      </c>
      <c r="E550" s="184" t="s">
        <v>1060</v>
      </c>
      <c r="F550" s="182">
        <v>45279</v>
      </c>
      <c r="G550" s="186" t="s">
        <v>94</v>
      </c>
      <c r="H550" s="184" t="s">
        <v>206</v>
      </c>
      <c r="T550" s="184" t="s">
        <v>1155</v>
      </c>
    </row>
    <row r="551" spans="1:20">
      <c r="A551" s="182">
        <v>45230</v>
      </c>
      <c r="B551" s="183">
        <v>0.67607638888888888</v>
      </c>
      <c r="C551" s="184" t="s">
        <v>73</v>
      </c>
      <c r="D551" s="184" t="s">
        <v>91</v>
      </c>
      <c r="E551" s="184" t="s">
        <v>19</v>
      </c>
      <c r="F551" s="182">
        <v>45274</v>
      </c>
      <c r="G551" s="186" t="s">
        <v>70</v>
      </c>
      <c r="H551" s="184" t="s">
        <v>92</v>
      </c>
    </row>
    <row r="552" spans="1:20">
      <c r="A552" s="182">
        <v>45231</v>
      </c>
      <c r="B552" s="183">
        <v>0.43292824074074071</v>
      </c>
      <c r="C552" s="184" t="s">
        <v>67</v>
      </c>
      <c r="D552" s="184" t="s">
        <v>68</v>
      </c>
      <c r="E552" s="184" t="s">
        <v>124</v>
      </c>
      <c r="F552" s="182">
        <v>45252</v>
      </c>
      <c r="G552" s="186" t="s">
        <v>94</v>
      </c>
      <c r="H552" s="184" t="s">
        <v>521</v>
      </c>
      <c r="T552" s="184" t="s">
        <v>1156</v>
      </c>
    </row>
    <row r="553" spans="1:20">
      <c r="A553" s="182">
        <v>45231</v>
      </c>
      <c r="B553" s="183">
        <v>0.55420138888888892</v>
      </c>
      <c r="C553" s="184" t="s">
        <v>73</v>
      </c>
      <c r="D553" s="184" t="s">
        <v>68</v>
      </c>
      <c r="E553" s="184" t="s">
        <v>124</v>
      </c>
      <c r="F553" s="182">
        <v>45252</v>
      </c>
      <c r="G553" s="186" t="s">
        <v>94</v>
      </c>
      <c r="H553" s="184" t="s">
        <v>392</v>
      </c>
      <c r="T553" s="184" t="s">
        <v>1157</v>
      </c>
    </row>
    <row r="554" spans="1:20">
      <c r="A554" s="182">
        <v>45236</v>
      </c>
      <c r="B554" s="183">
        <v>0.50140046296296303</v>
      </c>
      <c r="C554" s="184" t="s">
        <v>73</v>
      </c>
      <c r="D554" s="184" t="s">
        <v>68</v>
      </c>
      <c r="E554" s="184" t="s">
        <v>124</v>
      </c>
      <c r="F554" s="182">
        <v>45252</v>
      </c>
      <c r="G554" s="186" t="s">
        <v>112</v>
      </c>
      <c r="H554" s="184" t="s">
        <v>243</v>
      </c>
      <c r="T554" s="184" t="s">
        <v>1021</v>
      </c>
    </row>
    <row r="555" spans="1:20">
      <c r="A555" s="182">
        <v>45236</v>
      </c>
      <c r="B555" s="183">
        <v>0.53971064814814818</v>
      </c>
      <c r="C555" s="184" t="s">
        <v>73</v>
      </c>
      <c r="D555" s="184" t="s">
        <v>68</v>
      </c>
      <c r="E555" s="184" t="s">
        <v>96</v>
      </c>
      <c r="F555" s="182">
        <v>44997</v>
      </c>
      <c r="G555" s="186" t="s">
        <v>70</v>
      </c>
      <c r="H555" s="184" t="s">
        <v>71</v>
      </c>
      <c r="T555" s="184" t="s">
        <v>1158</v>
      </c>
    </row>
    <row r="556" spans="1:20">
      <c r="A556" s="182">
        <v>45236</v>
      </c>
      <c r="B556" s="183">
        <v>0.54521990740740744</v>
      </c>
      <c r="C556" s="184" t="s">
        <v>73</v>
      </c>
      <c r="D556" s="184" t="s">
        <v>68</v>
      </c>
      <c r="E556" s="184" t="s">
        <v>124</v>
      </c>
      <c r="F556" s="182">
        <v>45252</v>
      </c>
      <c r="G556" s="186" t="s">
        <v>99</v>
      </c>
      <c r="H556" s="184" t="s">
        <v>237</v>
      </c>
      <c r="T556" s="184" t="s">
        <v>1159</v>
      </c>
    </row>
    <row r="557" spans="1:20">
      <c r="A557" s="182">
        <v>45236</v>
      </c>
      <c r="B557" s="183">
        <v>0.63774305555555555</v>
      </c>
      <c r="C557" s="184" t="s">
        <v>73</v>
      </c>
      <c r="D557" s="184" t="s">
        <v>68</v>
      </c>
      <c r="E557" s="184" t="s">
        <v>1060</v>
      </c>
      <c r="F557" s="182">
        <v>45279</v>
      </c>
      <c r="G557" s="186" t="s">
        <v>94</v>
      </c>
      <c r="H557" s="184" t="s">
        <v>209</v>
      </c>
      <c r="T557" s="184" t="s">
        <v>1160</v>
      </c>
    </row>
    <row r="558" spans="1:20">
      <c r="A558" s="182">
        <v>45236</v>
      </c>
      <c r="B558" s="183">
        <v>0.70247685185185194</v>
      </c>
      <c r="C558" s="184" t="s">
        <v>67</v>
      </c>
      <c r="D558" s="184" t="s">
        <v>91</v>
      </c>
      <c r="E558" s="184" t="s">
        <v>19</v>
      </c>
      <c r="F558" s="182">
        <v>45274</v>
      </c>
      <c r="G558" s="186" t="s">
        <v>94</v>
      </c>
      <c r="H558" s="184" t="s">
        <v>227</v>
      </c>
    </row>
    <row r="559" spans="1:20">
      <c r="A559" s="182">
        <v>45237</v>
      </c>
      <c r="B559" s="183">
        <v>0.41461805555555559</v>
      </c>
      <c r="C559" s="184" t="s">
        <v>67</v>
      </c>
      <c r="D559" s="184" t="s">
        <v>68</v>
      </c>
      <c r="E559" s="184" t="s">
        <v>89</v>
      </c>
      <c r="F559" s="182">
        <v>45240</v>
      </c>
      <c r="G559" s="186" t="s">
        <v>114</v>
      </c>
      <c r="H559" s="184" t="s">
        <v>182</v>
      </c>
      <c r="T559" s="184" t="s">
        <v>1161</v>
      </c>
    </row>
    <row r="560" spans="1:20">
      <c r="A560" s="182">
        <v>45237</v>
      </c>
      <c r="B560" s="183">
        <v>0.45951388888888894</v>
      </c>
      <c r="C560" s="184" t="s">
        <v>67</v>
      </c>
      <c r="D560" s="184" t="s">
        <v>78</v>
      </c>
      <c r="E560" s="184" t="s">
        <v>124</v>
      </c>
      <c r="F560" s="182">
        <v>45252</v>
      </c>
      <c r="G560" s="186" t="s">
        <v>94</v>
      </c>
      <c r="H560" s="184" t="s">
        <v>267</v>
      </c>
    </row>
    <row r="561" spans="1:20">
      <c r="A561" s="182">
        <v>45238</v>
      </c>
      <c r="B561" s="183">
        <v>0.37555555555555559</v>
      </c>
      <c r="C561" s="184" t="s">
        <v>67</v>
      </c>
      <c r="D561" s="184" t="s">
        <v>68</v>
      </c>
      <c r="E561" s="184" t="s">
        <v>85</v>
      </c>
      <c r="F561" s="182">
        <v>45261</v>
      </c>
      <c r="G561" s="186" t="s">
        <v>99</v>
      </c>
      <c r="H561" s="184" t="s">
        <v>182</v>
      </c>
      <c r="T561" s="184" t="s">
        <v>1162</v>
      </c>
    </row>
    <row r="562" spans="1:20">
      <c r="A562" s="182">
        <v>45238</v>
      </c>
      <c r="B562" s="183">
        <v>0.39636574074074077</v>
      </c>
      <c r="C562" s="184" t="s">
        <v>67</v>
      </c>
      <c r="D562" s="184" t="s">
        <v>78</v>
      </c>
      <c r="E562" s="184" t="s">
        <v>124</v>
      </c>
      <c r="F562" s="182">
        <v>45252</v>
      </c>
      <c r="G562" s="186" t="s">
        <v>99</v>
      </c>
      <c r="H562" s="184" t="s">
        <v>288</v>
      </c>
    </row>
    <row r="563" spans="1:20">
      <c r="A563" s="182">
        <v>45238</v>
      </c>
      <c r="B563" s="183">
        <v>0.43410879629629634</v>
      </c>
      <c r="C563" s="184" t="s">
        <v>67</v>
      </c>
      <c r="D563" s="184" t="s">
        <v>78</v>
      </c>
      <c r="E563" s="184" t="s">
        <v>45</v>
      </c>
      <c r="F563" s="182">
        <v>45247</v>
      </c>
      <c r="G563" s="186" t="s">
        <v>99</v>
      </c>
      <c r="H563" s="184" t="s">
        <v>233</v>
      </c>
    </row>
    <row r="564" spans="1:20">
      <c r="A564" s="182">
        <v>45238</v>
      </c>
      <c r="B564" s="183">
        <v>0.43435185185185188</v>
      </c>
      <c r="C564" s="184" t="s">
        <v>67</v>
      </c>
      <c r="D564" s="184" t="s">
        <v>78</v>
      </c>
      <c r="E564" s="184" t="s">
        <v>19</v>
      </c>
      <c r="F564" s="182">
        <v>45274</v>
      </c>
      <c r="G564" s="186" t="s">
        <v>99</v>
      </c>
      <c r="H564" s="184" t="s">
        <v>233</v>
      </c>
    </row>
    <row r="565" spans="1:20">
      <c r="A565" s="182">
        <v>45238</v>
      </c>
      <c r="B565" s="183">
        <v>0.4346180555555556</v>
      </c>
      <c r="C565" s="184" t="s">
        <v>67</v>
      </c>
      <c r="D565" s="184" t="s">
        <v>78</v>
      </c>
      <c r="E565" s="184" t="s">
        <v>19</v>
      </c>
      <c r="F565" s="182">
        <v>44976</v>
      </c>
      <c r="G565" s="186" t="s">
        <v>70</v>
      </c>
      <c r="H565" s="184" t="s">
        <v>86</v>
      </c>
    </row>
    <row r="566" spans="1:20">
      <c r="A566" s="182">
        <v>45238</v>
      </c>
      <c r="B566" s="183">
        <v>0.43480324074074073</v>
      </c>
      <c r="C566" s="184" t="s">
        <v>67</v>
      </c>
      <c r="D566" s="184" t="s">
        <v>78</v>
      </c>
      <c r="E566" s="184" t="s">
        <v>45</v>
      </c>
      <c r="F566" s="182">
        <v>44967</v>
      </c>
      <c r="G566" s="186" t="s">
        <v>105</v>
      </c>
      <c r="H566" s="184" t="s">
        <v>106</v>
      </c>
    </row>
    <row r="567" spans="1:20">
      <c r="A567" s="182">
        <v>45238</v>
      </c>
      <c r="B567" s="183">
        <v>0.57465277777777779</v>
      </c>
      <c r="C567" s="184" t="s">
        <v>73</v>
      </c>
      <c r="D567" s="184" t="s">
        <v>68</v>
      </c>
      <c r="E567" s="184" t="s">
        <v>1060</v>
      </c>
      <c r="F567" s="182">
        <v>45279</v>
      </c>
      <c r="G567" s="186" t="s">
        <v>94</v>
      </c>
      <c r="H567" s="184" t="s">
        <v>272</v>
      </c>
      <c r="T567" s="184" t="s">
        <v>1163</v>
      </c>
    </row>
    <row r="568" spans="1:20">
      <c r="A568" s="182">
        <v>45239</v>
      </c>
      <c r="B568" s="183">
        <v>0.43498842592592596</v>
      </c>
      <c r="C568" s="184" t="s">
        <v>67</v>
      </c>
      <c r="D568" s="184" t="s">
        <v>68</v>
      </c>
      <c r="E568" s="184" t="s">
        <v>69</v>
      </c>
      <c r="F568" s="182">
        <v>45317</v>
      </c>
      <c r="G568" s="186" t="s">
        <v>70</v>
      </c>
      <c r="H568" s="184" t="s">
        <v>71</v>
      </c>
    </row>
    <row r="569" spans="1:20">
      <c r="A569" s="182">
        <v>45239</v>
      </c>
      <c r="B569" s="183">
        <v>0.43631944444444448</v>
      </c>
      <c r="C569" s="184" t="s">
        <v>67</v>
      </c>
      <c r="D569" s="184" t="s">
        <v>68</v>
      </c>
      <c r="E569" s="184" t="s">
        <v>69</v>
      </c>
      <c r="F569" s="182">
        <v>45317</v>
      </c>
      <c r="G569" s="186" t="s">
        <v>70</v>
      </c>
      <c r="H569" s="184" t="s">
        <v>71</v>
      </c>
      <c r="T569" s="184" t="s">
        <v>234</v>
      </c>
    </row>
    <row r="570" spans="1:20">
      <c r="A570" s="182">
        <v>45240</v>
      </c>
      <c r="B570" s="183">
        <v>0.49333333333333335</v>
      </c>
      <c r="C570" s="184" t="s">
        <v>73</v>
      </c>
      <c r="D570" s="184" t="s">
        <v>68</v>
      </c>
      <c r="E570" s="184" t="s">
        <v>1060</v>
      </c>
      <c r="F570" s="182">
        <v>45279</v>
      </c>
      <c r="G570" s="186" t="s">
        <v>94</v>
      </c>
      <c r="H570" s="184" t="s">
        <v>213</v>
      </c>
      <c r="T570" s="184" t="s">
        <v>302</v>
      </c>
    </row>
    <row r="571" spans="1:20">
      <c r="A571" s="182">
        <v>45243</v>
      </c>
      <c r="B571" s="183">
        <v>0.42951388888888892</v>
      </c>
      <c r="C571" s="184" t="s">
        <v>73</v>
      </c>
      <c r="D571" s="184" t="s">
        <v>68</v>
      </c>
      <c r="E571" s="184" t="s">
        <v>45</v>
      </c>
      <c r="F571" s="182">
        <v>45247</v>
      </c>
      <c r="G571" s="186" t="s">
        <v>99</v>
      </c>
      <c r="H571" s="184" t="s">
        <v>247</v>
      </c>
      <c r="T571" s="184" t="s">
        <v>424</v>
      </c>
    </row>
    <row r="572" spans="1:20">
      <c r="A572" s="182">
        <v>45243</v>
      </c>
      <c r="B572" s="183">
        <v>0.52994212962962961</v>
      </c>
      <c r="C572" s="184" t="s">
        <v>73</v>
      </c>
      <c r="D572" s="184" t="s">
        <v>68</v>
      </c>
      <c r="E572" s="184" t="s">
        <v>19</v>
      </c>
      <c r="F572" s="182">
        <v>45274</v>
      </c>
      <c r="G572" s="186" t="s">
        <v>94</v>
      </c>
      <c r="H572" s="184" t="s">
        <v>117</v>
      </c>
      <c r="T572" s="184" t="s">
        <v>234</v>
      </c>
    </row>
    <row r="573" spans="1:20">
      <c r="A573" s="182">
        <v>45243</v>
      </c>
      <c r="B573" s="183">
        <v>0.53127314814814819</v>
      </c>
      <c r="C573" s="184" t="s">
        <v>73</v>
      </c>
      <c r="D573" s="184" t="s">
        <v>68</v>
      </c>
      <c r="E573" s="184" t="s">
        <v>45</v>
      </c>
      <c r="F573" s="182">
        <v>45247</v>
      </c>
      <c r="G573" s="186" t="s">
        <v>94</v>
      </c>
      <c r="H573" s="184" t="s">
        <v>237</v>
      </c>
      <c r="T573" s="184" t="s">
        <v>234</v>
      </c>
    </row>
    <row r="574" spans="1:20">
      <c r="A574" s="182">
        <v>45246</v>
      </c>
      <c r="B574" s="183">
        <v>0.38996527777777779</v>
      </c>
      <c r="C574" s="184" t="s">
        <v>67</v>
      </c>
      <c r="D574" s="184" t="s">
        <v>68</v>
      </c>
      <c r="E574" s="184" t="s">
        <v>85</v>
      </c>
      <c r="F574" s="182">
        <v>45261</v>
      </c>
      <c r="G574" s="186" t="s">
        <v>94</v>
      </c>
      <c r="H574" s="184" t="s">
        <v>117</v>
      </c>
      <c r="T574" s="184" t="s">
        <v>1164</v>
      </c>
    </row>
    <row r="575" spans="1:20">
      <c r="A575" s="182">
        <v>45246</v>
      </c>
      <c r="B575" s="183">
        <v>0.40458333333333335</v>
      </c>
      <c r="C575" s="184" t="s">
        <v>67</v>
      </c>
      <c r="D575" s="184" t="s">
        <v>68</v>
      </c>
      <c r="E575" s="184" t="s">
        <v>1060</v>
      </c>
      <c r="F575" s="182">
        <v>45279</v>
      </c>
      <c r="G575" s="186" t="s">
        <v>94</v>
      </c>
      <c r="H575" s="184" t="s">
        <v>225</v>
      </c>
      <c r="T575" s="184" t="s">
        <v>343</v>
      </c>
    </row>
    <row r="576" spans="1:20">
      <c r="A576" s="182">
        <v>45247</v>
      </c>
      <c r="B576" s="183">
        <v>0.38002314814814814</v>
      </c>
      <c r="C576" s="184" t="s">
        <v>73</v>
      </c>
      <c r="D576" s="184" t="s">
        <v>91</v>
      </c>
      <c r="E576" s="184" t="s">
        <v>85</v>
      </c>
      <c r="F576" s="182">
        <v>45261</v>
      </c>
      <c r="G576" s="186" t="s">
        <v>114</v>
      </c>
      <c r="H576" s="184" t="s">
        <v>285</v>
      </c>
    </row>
    <row r="577" spans="1:20">
      <c r="A577" s="182">
        <v>45247</v>
      </c>
      <c r="B577" s="183">
        <v>0.45940972222222221</v>
      </c>
      <c r="C577" s="184" t="s">
        <v>73</v>
      </c>
      <c r="D577" s="184" t="s">
        <v>68</v>
      </c>
      <c r="E577" s="184" t="s">
        <v>96</v>
      </c>
      <c r="F577" s="182">
        <v>45363</v>
      </c>
      <c r="G577" s="186" t="s">
        <v>94</v>
      </c>
      <c r="H577" s="184" t="s">
        <v>76</v>
      </c>
      <c r="T577" s="184" t="s">
        <v>1165</v>
      </c>
    </row>
    <row r="578" spans="1:20">
      <c r="A578" s="182">
        <v>45251</v>
      </c>
      <c r="B578" s="183">
        <v>0.3781018518518518</v>
      </c>
      <c r="C578" s="184" t="s">
        <v>67</v>
      </c>
      <c r="D578" s="184" t="s">
        <v>159</v>
      </c>
      <c r="E578" s="184" t="s">
        <v>1060</v>
      </c>
      <c r="F578" s="182">
        <v>45279</v>
      </c>
      <c r="G578" s="186" t="s">
        <v>497</v>
      </c>
      <c r="H578" s="184" t="s">
        <v>1166</v>
      </c>
    </row>
    <row r="579" spans="1:20">
      <c r="A579" s="182">
        <v>45251</v>
      </c>
      <c r="B579" s="183">
        <v>0.60005787037037039</v>
      </c>
      <c r="C579" s="184" t="s">
        <v>73</v>
      </c>
      <c r="D579" s="184" t="s">
        <v>68</v>
      </c>
      <c r="E579" s="184" t="s">
        <v>19</v>
      </c>
      <c r="F579" s="182">
        <v>45341</v>
      </c>
      <c r="G579" s="186" t="s">
        <v>114</v>
      </c>
      <c r="H579" s="184" t="s">
        <v>87</v>
      </c>
      <c r="T579" s="184" t="s">
        <v>790</v>
      </c>
    </row>
    <row r="580" spans="1:20">
      <c r="A580" s="182">
        <v>45251</v>
      </c>
      <c r="B580" s="183">
        <v>0.64548611111111109</v>
      </c>
      <c r="C580" s="184" t="s">
        <v>67</v>
      </c>
      <c r="D580" s="184" t="s">
        <v>68</v>
      </c>
      <c r="E580" s="184" t="s">
        <v>45</v>
      </c>
      <c r="F580" s="182">
        <v>45247</v>
      </c>
      <c r="G580" s="186" t="s">
        <v>99</v>
      </c>
      <c r="H580" s="184" t="s">
        <v>247</v>
      </c>
      <c r="T580" s="184" t="s">
        <v>1167</v>
      </c>
    </row>
    <row r="581" spans="1:20">
      <c r="A581" s="182">
        <v>45251</v>
      </c>
      <c r="B581" s="183">
        <v>0.64590277777777783</v>
      </c>
      <c r="C581" s="184" t="s">
        <v>67</v>
      </c>
      <c r="D581" s="184" t="s">
        <v>68</v>
      </c>
      <c r="E581" s="184" t="s">
        <v>45</v>
      </c>
      <c r="F581" s="182">
        <v>45332</v>
      </c>
      <c r="G581" s="186" t="s">
        <v>70</v>
      </c>
      <c r="H581" s="184" t="s">
        <v>71</v>
      </c>
      <c r="T581" s="184" t="s">
        <v>1168</v>
      </c>
    </row>
    <row r="582" spans="1:20">
      <c r="A582" s="182">
        <v>45254</v>
      </c>
      <c r="B582" s="183">
        <v>0.70466435185185183</v>
      </c>
      <c r="C582" s="184" t="s">
        <v>67</v>
      </c>
      <c r="D582" s="184" t="s">
        <v>91</v>
      </c>
      <c r="E582" s="184" t="s">
        <v>19</v>
      </c>
      <c r="F582" s="182">
        <v>45274</v>
      </c>
      <c r="G582" s="186" t="s">
        <v>114</v>
      </c>
      <c r="H582" s="184" t="s">
        <v>120</v>
      </c>
    </row>
    <row r="583" spans="1:20">
      <c r="A583" s="182">
        <v>45257</v>
      </c>
      <c r="B583" s="183">
        <v>0.40148148148148149</v>
      </c>
      <c r="C583" s="184" t="s">
        <v>67</v>
      </c>
      <c r="D583" s="184" t="s">
        <v>68</v>
      </c>
      <c r="E583" s="184" t="s">
        <v>85</v>
      </c>
      <c r="F583" s="182">
        <v>45261</v>
      </c>
      <c r="G583" s="186" t="s">
        <v>94</v>
      </c>
      <c r="H583" s="184" t="s">
        <v>259</v>
      </c>
      <c r="T583" s="184" t="s">
        <v>1169</v>
      </c>
    </row>
    <row r="584" spans="1:20">
      <c r="A584" s="182">
        <v>45257</v>
      </c>
      <c r="B584" s="183">
        <v>0.48</v>
      </c>
      <c r="C584" s="184" t="s">
        <v>67</v>
      </c>
      <c r="D584" s="184" t="s">
        <v>68</v>
      </c>
      <c r="E584" s="184" t="s">
        <v>85</v>
      </c>
      <c r="F584" s="182">
        <v>45261</v>
      </c>
      <c r="G584" s="186" t="s">
        <v>99</v>
      </c>
      <c r="H584" s="184" t="s">
        <v>117</v>
      </c>
      <c r="T584" s="184" t="s">
        <v>1170</v>
      </c>
    </row>
    <row r="585" spans="1:20">
      <c r="A585" s="182">
        <v>45257</v>
      </c>
      <c r="B585" s="183">
        <v>0.570775462962963</v>
      </c>
      <c r="C585" s="184" t="s">
        <v>67</v>
      </c>
      <c r="D585" s="184" t="s">
        <v>68</v>
      </c>
      <c r="E585" s="184" t="s">
        <v>19</v>
      </c>
      <c r="F585" s="182">
        <v>45274</v>
      </c>
      <c r="G585" s="186" t="s">
        <v>94</v>
      </c>
      <c r="H585" s="184" t="s">
        <v>259</v>
      </c>
      <c r="T585" s="184" t="s">
        <v>1171</v>
      </c>
    </row>
    <row r="586" spans="1:20">
      <c r="A586" s="182">
        <v>45257</v>
      </c>
      <c r="B586" s="183">
        <v>0.59069444444444441</v>
      </c>
      <c r="C586" s="184" t="s">
        <v>67</v>
      </c>
      <c r="D586" s="184" t="s">
        <v>68</v>
      </c>
      <c r="E586" s="184" t="s">
        <v>19</v>
      </c>
      <c r="F586" s="182">
        <v>45274</v>
      </c>
      <c r="G586" s="186" t="s">
        <v>112</v>
      </c>
      <c r="H586" s="184" t="s">
        <v>260</v>
      </c>
      <c r="T586" s="184" t="s">
        <v>1172</v>
      </c>
    </row>
    <row r="587" spans="1:20">
      <c r="A587" s="182">
        <v>45257</v>
      </c>
      <c r="B587" s="183">
        <v>0.59193287037037035</v>
      </c>
      <c r="C587" s="184" t="s">
        <v>67</v>
      </c>
      <c r="D587" s="184" t="s">
        <v>68</v>
      </c>
      <c r="E587" s="184" t="s">
        <v>45</v>
      </c>
      <c r="F587" s="182">
        <v>45332</v>
      </c>
      <c r="G587" s="186" t="s">
        <v>114</v>
      </c>
      <c r="H587" s="184" t="s">
        <v>87</v>
      </c>
      <c r="T587" s="184" t="s">
        <v>1172</v>
      </c>
    </row>
    <row r="588" spans="1:20">
      <c r="A588" s="182">
        <v>45258</v>
      </c>
      <c r="B588" s="183">
        <v>0.5176736111111111</v>
      </c>
      <c r="C588" s="184" t="s">
        <v>73</v>
      </c>
      <c r="D588" s="184" t="s">
        <v>68</v>
      </c>
      <c r="E588" s="184" t="s">
        <v>19</v>
      </c>
      <c r="F588" s="182">
        <v>45274</v>
      </c>
      <c r="G588" s="186" t="s">
        <v>94</v>
      </c>
      <c r="H588" s="184" t="s">
        <v>256</v>
      </c>
      <c r="T588" s="184" t="s">
        <v>1173</v>
      </c>
    </row>
    <row r="589" spans="1:20">
      <c r="A589" s="182">
        <v>45259</v>
      </c>
      <c r="B589" s="183">
        <v>0.59629629629629632</v>
      </c>
      <c r="C589" s="184" t="s">
        <v>73</v>
      </c>
      <c r="D589" s="184" t="s">
        <v>68</v>
      </c>
      <c r="E589" s="184" t="s">
        <v>96</v>
      </c>
      <c r="F589" s="182">
        <v>45363</v>
      </c>
      <c r="G589" s="186" t="s">
        <v>94</v>
      </c>
      <c r="H589" s="184" t="s">
        <v>87</v>
      </c>
      <c r="T589" s="184" t="s">
        <v>1174</v>
      </c>
    </row>
    <row r="590" spans="1:20">
      <c r="A590" s="182">
        <v>45260</v>
      </c>
      <c r="B590" s="183">
        <v>0.57072916666666662</v>
      </c>
      <c r="C590" s="184" t="s">
        <v>67</v>
      </c>
      <c r="D590" s="184" t="s">
        <v>159</v>
      </c>
      <c r="E590" s="184" t="s">
        <v>19</v>
      </c>
      <c r="F590" s="182">
        <v>45341</v>
      </c>
      <c r="G590" s="186" t="s">
        <v>70</v>
      </c>
      <c r="H590" s="184" t="s">
        <v>216</v>
      </c>
    </row>
    <row r="591" spans="1:20">
      <c r="A591" s="182">
        <v>45260</v>
      </c>
      <c r="B591" s="183">
        <v>0.5713773148148148</v>
      </c>
      <c r="C591" s="184" t="s">
        <v>67</v>
      </c>
      <c r="D591" s="184" t="s">
        <v>68</v>
      </c>
      <c r="E591" s="184" t="s">
        <v>1060</v>
      </c>
      <c r="F591" s="182">
        <v>45279</v>
      </c>
      <c r="G591" s="186" t="s">
        <v>94</v>
      </c>
      <c r="H591" s="184" t="s">
        <v>231</v>
      </c>
      <c r="T591" s="184" t="s">
        <v>234</v>
      </c>
    </row>
    <row r="592" spans="1:20">
      <c r="A592" s="182">
        <v>45260</v>
      </c>
      <c r="B592" s="183">
        <v>0.57658564814814817</v>
      </c>
      <c r="C592" s="184" t="s">
        <v>67</v>
      </c>
      <c r="D592" s="184" t="s">
        <v>68</v>
      </c>
      <c r="E592" s="184" t="s">
        <v>19</v>
      </c>
      <c r="F592" s="182">
        <v>45274</v>
      </c>
      <c r="G592" s="186" t="s">
        <v>94</v>
      </c>
      <c r="H592" s="184" t="s">
        <v>305</v>
      </c>
      <c r="T592" s="184" t="s">
        <v>420</v>
      </c>
    </row>
    <row r="593" spans="1:20">
      <c r="A593" s="182">
        <v>45260</v>
      </c>
      <c r="B593" s="183">
        <v>0.70815972222222223</v>
      </c>
      <c r="C593" s="184" t="s">
        <v>67</v>
      </c>
      <c r="D593" s="184" t="s">
        <v>78</v>
      </c>
      <c r="E593" s="184" t="s">
        <v>69</v>
      </c>
      <c r="F593" s="182">
        <v>45317</v>
      </c>
      <c r="G593" s="186" t="s">
        <v>75</v>
      </c>
      <c r="H593" s="184" t="s">
        <v>107</v>
      </c>
    </row>
    <row r="594" spans="1:20">
      <c r="A594" s="182">
        <v>45261</v>
      </c>
      <c r="B594" s="183">
        <v>0.41309027777777779</v>
      </c>
      <c r="C594" s="184" t="s">
        <v>73</v>
      </c>
      <c r="D594" s="184" t="s">
        <v>68</v>
      </c>
      <c r="E594" s="184" t="s">
        <v>1060</v>
      </c>
      <c r="F594" s="182">
        <v>45279</v>
      </c>
      <c r="G594" s="186" t="s">
        <v>94</v>
      </c>
      <c r="H594" s="184" t="s">
        <v>239</v>
      </c>
      <c r="T594" s="184" t="s">
        <v>951</v>
      </c>
    </row>
    <row r="595" spans="1:20">
      <c r="A595" s="182">
        <v>45261</v>
      </c>
      <c r="B595" s="183">
        <v>0.5816782407407407</v>
      </c>
      <c r="C595" s="184" t="s">
        <v>73</v>
      </c>
      <c r="D595" s="184" t="s">
        <v>68</v>
      </c>
      <c r="E595" s="184" t="s">
        <v>19</v>
      </c>
      <c r="F595" s="182">
        <v>45341</v>
      </c>
      <c r="G595" s="186" t="s">
        <v>114</v>
      </c>
      <c r="H595" s="184" t="s">
        <v>103</v>
      </c>
      <c r="T595" s="184" t="s">
        <v>412</v>
      </c>
    </row>
    <row r="596" spans="1:20">
      <c r="A596" s="182">
        <v>45261</v>
      </c>
      <c r="B596" s="183">
        <v>0.59085648148148151</v>
      </c>
      <c r="C596" s="184" t="s">
        <v>73</v>
      </c>
      <c r="D596" s="184" t="s">
        <v>68</v>
      </c>
      <c r="E596" s="184" t="s">
        <v>19</v>
      </c>
      <c r="F596" s="182">
        <v>45274</v>
      </c>
      <c r="G596" s="186" t="s">
        <v>99</v>
      </c>
      <c r="H596" s="184" t="s">
        <v>256</v>
      </c>
      <c r="T596" s="184" t="s">
        <v>1175</v>
      </c>
    </row>
    <row r="597" spans="1:20">
      <c r="A597" s="182">
        <v>45265</v>
      </c>
      <c r="B597" s="183">
        <v>0.4664814814814815</v>
      </c>
      <c r="C597" s="184" t="s">
        <v>73</v>
      </c>
      <c r="D597" s="184" t="s">
        <v>78</v>
      </c>
      <c r="E597" s="184" t="s">
        <v>1060</v>
      </c>
      <c r="F597" s="182">
        <v>45279</v>
      </c>
      <c r="G597" s="186" t="s">
        <v>160</v>
      </c>
      <c r="H597" s="184" t="s">
        <v>280</v>
      </c>
    </row>
    <row r="598" spans="1:20">
      <c r="A598" s="182">
        <v>45265</v>
      </c>
      <c r="B598" s="183">
        <v>0.67060185185185184</v>
      </c>
      <c r="C598" s="184" t="s">
        <v>73</v>
      </c>
      <c r="D598" s="184" t="s">
        <v>68</v>
      </c>
      <c r="E598" s="184" t="s">
        <v>19</v>
      </c>
      <c r="F598" s="182">
        <v>45341</v>
      </c>
      <c r="G598" s="186" t="s">
        <v>94</v>
      </c>
      <c r="H598" s="184" t="s">
        <v>182</v>
      </c>
      <c r="T598" s="184" t="s">
        <v>674</v>
      </c>
    </row>
    <row r="599" spans="1:20">
      <c r="A599" s="182">
        <v>45266</v>
      </c>
      <c r="B599" s="183">
        <v>0.46556712962962959</v>
      </c>
      <c r="C599" s="184" t="s">
        <v>67</v>
      </c>
      <c r="D599" s="184" t="s">
        <v>78</v>
      </c>
      <c r="E599" s="184" t="s">
        <v>19</v>
      </c>
      <c r="F599" s="182">
        <v>45341</v>
      </c>
      <c r="G599" s="186" t="s">
        <v>94</v>
      </c>
      <c r="H599" s="184" t="s">
        <v>107</v>
      </c>
    </row>
    <row r="600" spans="1:20">
      <c r="A600" s="182">
        <v>45267</v>
      </c>
      <c r="B600" s="183">
        <v>0.3790162037037037</v>
      </c>
      <c r="C600" s="184" t="s">
        <v>73</v>
      </c>
      <c r="D600" s="184" t="s">
        <v>68</v>
      </c>
      <c r="E600" s="184" t="s">
        <v>1060</v>
      </c>
      <c r="F600" s="182">
        <v>45279</v>
      </c>
      <c r="G600" s="186" t="s">
        <v>99</v>
      </c>
      <c r="H600" s="184" t="s">
        <v>231</v>
      </c>
      <c r="T600" s="184" t="s">
        <v>1176</v>
      </c>
    </row>
    <row r="601" spans="1:20">
      <c r="A601" s="182">
        <v>45267</v>
      </c>
      <c r="B601" s="183">
        <v>0.41266203703703702</v>
      </c>
      <c r="C601" s="184" t="s">
        <v>73</v>
      </c>
      <c r="D601" s="184" t="s">
        <v>78</v>
      </c>
      <c r="E601" s="184" t="s">
        <v>1060</v>
      </c>
      <c r="F601" s="182">
        <v>45279</v>
      </c>
      <c r="G601" s="186" t="s">
        <v>114</v>
      </c>
      <c r="H601" s="184" t="s">
        <v>208</v>
      </c>
    </row>
    <row r="602" spans="1:20">
      <c r="A602" s="182">
        <v>45267</v>
      </c>
      <c r="B602" s="183">
        <v>0.4858912037037037</v>
      </c>
      <c r="C602" s="184" t="s">
        <v>73</v>
      </c>
      <c r="D602" s="184" t="s">
        <v>68</v>
      </c>
      <c r="E602" s="184" t="s">
        <v>1060</v>
      </c>
      <c r="F602" s="182">
        <v>45279</v>
      </c>
      <c r="G602" s="186" t="s">
        <v>112</v>
      </c>
      <c r="H602" s="184" t="s">
        <v>245</v>
      </c>
      <c r="T602" s="184" t="s">
        <v>1177</v>
      </c>
    </row>
    <row r="603" spans="1:20">
      <c r="A603" s="182">
        <v>45267</v>
      </c>
      <c r="B603" s="183">
        <v>0.59158564814814818</v>
      </c>
      <c r="C603" s="184" t="s">
        <v>73</v>
      </c>
      <c r="D603" s="184" t="s">
        <v>159</v>
      </c>
      <c r="E603" s="184" t="s">
        <v>1060</v>
      </c>
      <c r="F603" s="182">
        <v>45279</v>
      </c>
      <c r="G603" s="186" t="s">
        <v>160</v>
      </c>
      <c r="H603" s="184" t="s">
        <v>1178</v>
      </c>
      <c r="I603" s="184" t="s">
        <v>964</v>
      </c>
    </row>
    <row r="604" spans="1:20">
      <c r="A604" s="182">
        <v>45267</v>
      </c>
      <c r="B604" s="183">
        <v>0.64409722222222221</v>
      </c>
      <c r="C604" s="184" t="s">
        <v>67</v>
      </c>
      <c r="D604" s="184" t="s">
        <v>68</v>
      </c>
      <c r="E604" s="184" t="s">
        <v>1060</v>
      </c>
      <c r="F604" s="182">
        <v>45279</v>
      </c>
      <c r="G604" s="186" t="s">
        <v>94</v>
      </c>
      <c r="H604" s="184" t="s">
        <v>521</v>
      </c>
      <c r="T604" s="184" t="s">
        <v>1131</v>
      </c>
    </row>
    <row r="605" spans="1:20">
      <c r="A605" s="182">
        <v>45271</v>
      </c>
      <c r="B605" s="183">
        <v>0.48024305555555552</v>
      </c>
      <c r="C605" s="184" t="s">
        <v>73</v>
      </c>
      <c r="D605" s="184" t="s">
        <v>68</v>
      </c>
      <c r="E605" s="184" t="s">
        <v>19</v>
      </c>
      <c r="F605" s="182">
        <v>45341</v>
      </c>
      <c r="G605" s="186" t="s">
        <v>94</v>
      </c>
      <c r="H605" s="184" t="s">
        <v>117</v>
      </c>
      <c r="T605" s="184" t="s">
        <v>1132</v>
      </c>
    </row>
    <row r="606" spans="1:20">
      <c r="A606" s="182">
        <v>45272</v>
      </c>
      <c r="B606" s="183">
        <v>0.4208217592592593</v>
      </c>
      <c r="C606" s="184" t="s">
        <v>67</v>
      </c>
      <c r="D606" s="184" t="s">
        <v>68</v>
      </c>
      <c r="E606" s="184" t="s">
        <v>19</v>
      </c>
      <c r="F606" s="182">
        <v>45341</v>
      </c>
      <c r="G606" s="186" t="s">
        <v>94</v>
      </c>
      <c r="H606" s="184" t="s">
        <v>259</v>
      </c>
      <c r="T606" s="184" t="s">
        <v>1044</v>
      </c>
    </row>
    <row r="607" spans="1:20">
      <c r="A607" s="182">
        <v>45272</v>
      </c>
      <c r="B607" s="183">
        <v>0.53402777777777777</v>
      </c>
      <c r="C607" s="184" t="s">
        <v>67</v>
      </c>
      <c r="D607" s="184" t="s">
        <v>78</v>
      </c>
      <c r="E607" s="184" t="s">
        <v>69</v>
      </c>
      <c r="F607" s="182">
        <v>45317</v>
      </c>
      <c r="G607" s="186" t="s">
        <v>94</v>
      </c>
      <c r="H607" s="184" t="s">
        <v>106</v>
      </c>
    </row>
    <row r="608" spans="1:20">
      <c r="A608" s="182">
        <v>45274</v>
      </c>
      <c r="B608" s="183">
        <v>0.38141203703703702</v>
      </c>
      <c r="C608" s="184" t="s">
        <v>67</v>
      </c>
      <c r="D608" s="184" t="s">
        <v>68</v>
      </c>
      <c r="E608" s="184" t="s">
        <v>19</v>
      </c>
      <c r="F608" s="182">
        <v>45341</v>
      </c>
      <c r="G608" s="186" t="s">
        <v>94</v>
      </c>
      <c r="H608" s="184" t="s">
        <v>273</v>
      </c>
      <c r="T608" s="184" t="s">
        <v>417</v>
      </c>
    </row>
    <row r="609" spans="1:20">
      <c r="A609" s="182">
        <v>45274</v>
      </c>
      <c r="B609" s="183">
        <v>0.58357638888888885</v>
      </c>
      <c r="C609" s="184" t="s">
        <v>73</v>
      </c>
      <c r="D609" s="184" t="s">
        <v>68</v>
      </c>
      <c r="E609" s="184" t="s">
        <v>96</v>
      </c>
      <c r="F609" s="182">
        <v>45363</v>
      </c>
      <c r="G609" s="186" t="s">
        <v>94</v>
      </c>
      <c r="H609" s="184" t="s">
        <v>101</v>
      </c>
      <c r="T609" s="184" t="s">
        <v>1179</v>
      </c>
    </row>
    <row r="610" spans="1:20">
      <c r="A610" s="182">
        <v>45274</v>
      </c>
      <c r="B610" s="183">
        <v>0.62069444444444444</v>
      </c>
      <c r="C610" s="184" t="s">
        <v>73</v>
      </c>
      <c r="D610" s="184" t="s">
        <v>68</v>
      </c>
      <c r="E610" s="184" t="s">
        <v>96</v>
      </c>
      <c r="F610" s="182">
        <v>45363</v>
      </c>
      <c r="G610" s="186" t="s">
        <v>94</v>
      </c>
      <c r="H610" s="184" t="s">
        <v>103</v>
      </c>
      <c r="T610" s="184" t="s">
        <v>1180</v>
      </c>
    </row>
    <row r="611" spans="1:20">
      <c r="A611" s="182">
        <v>45275</v>
      </c>
      <c r="B611" s="183">
        <v>0.37265046296296295</v>
      </c>
      <c r="C611" s="184" t="s">
        <v>67</v>
      </c>
      <c r="D611" s="184" t="s">
        <v>91</v>
      </c>
      <c r="E611" s="184" t="s">
        <v>69</v>
      </c>
      <c r="F611" s="182">
        <v>45317</v>
      </c>
      <c r="G611" s="186" t="s">
        <v>70</v>
      </c>
      <c r="H611" s="184" t="s">
        <v>93</v>
      </c>
    </row>
    <row r="612" spans="1:20">
      <c r="A612" s="182">
        <v>45278</v>
      </c>
      <c r="B612" s="183">
        <v>0.66861111111111116</v>
      </c>
      <c r="C612" s="184" t="s">
        <v>67</v>
      </c>
      <c r="D612" s="184" t="s">
        <v>68</v>
      </c>
      <c r="E612" s="184" t="s">
        <v>96</v>
      </c>
      <c r="F612" s="182">
        <v>45363</v>
      </c>
      <c r="G612" s="186" t="s">
        <v>94</v>
      </c>
      <c r="H612" s="184" t="s">
        <v>182</v>
      </c>
      <c r="T612" s="184" t="s">
        <v>377</v>
      </c>
    </row>
    <row r="613" spans="1:20">
      <c r="A613" s="182">
        <v>45280</v>
      </c>
      <c r="B613" s="183">
        <v>0.66737268518518522</v>
      </c>
      <c r="C613" s="184" t="s">
        <v>67</v>
      </c>
      <c r="D613" s="184" t="s">
        <v>91</v>
      </c>
      <c r="E613" s="184" t="s">
        <v>45</v>
      </c>
      <c r="F613" s="182">
        <v>45332</v>
      </c>
      <c r="G613" s="186" t="s">
        <v>70</v>
      </c>
      <c r="H613" s="184" t="s">
        <v>93</v>
      </c>
    </row>
    <row r="614" spans="1:20">
      <c r="A614" s="182">
        <v>45287</v>
      </c>
      <c r="B614" s="183">
        <v>0.3765162037037037</v>
      </c>
      <c r="C614" s="184" t="s">
        <v>67</v>
      </c>
      <c r="D614" s="184" t="s">
        <v>159</v>
      </c>
      <c r="E614" s="184" t="s">
        <v>96</v>
      </c>
      <c r="F614" s="182">
        <v>45363</v>
      </c>
      <c r="G614" s="186" t="s">
        <v>70</v>
      </c>
      <c r="H614" s="184" t="s">
        <v>216</v>
      </c>
    </row>
    <row r="615" spans="1:20">
      <c r="A615" s="182">
        <v>45287</v>
      </c>
      <c r="B615" s="183">
        <v>0.37681712962962965</v>
      </c>
      <c r="C615" s="184" t="s">
        <v>67</v>
      </c>
      <c r="D615" s="184" t="s">
        <v>68</v>
      </c>
      <c r="E615" s="184" t="s">
        <v>19</v>
      </c>
      <c r="F615" s="182">
        <v>45341</v>
      </c>
      <c r="G615" s="186" t="s">
        <v>94</v>
      </c>
      <c r="H615" s="184" t="s">
        <v>261</v>
      </c>
      <c r="T615" s="184" t="s">
        <v>110</v>
      </c>
    </row>
    <row r="616" spans="1:20">
      <c r="A616" s="182">
        <v>45287</v>
      </c>
      <c r="B616" s="183">
        <v>0.37776620370370373</v>
      </c>
      <c r="C616" s="184" t="s">
        <v>67</v>
      </c>
      <c r="D616" s="184" t="s">
        <v>68</v>
      </c>
      <c r="E616" s="184" t="s">
        <v>45</v>
      </c>
      <c r="F616" s="182">
        <v>45332</v>
      </c>
      <c r="G616" s="186" t="s">
        <v>94</v>
      </c>
      <c r="H616" s="184" t="s">
        <v>101</v>
      </c>
      <c r="T616" s="184" t="s">
        <v>110</v>
      </c>
    </row>
    <row r="617" spans="1:20">
      <c r="A617" s="182">
        <v>45288</v>
      </c>
      <c r="B617" s="183">
        <v>0.3883564814814815</v>
      </c>
      <c r="C617" s="184" t="s">
        <v>67</v>
      </c>
      <c r="D617" s="184" t="s">
        <v>78</v>
      </c>
      <c r="E617" s="184" t="s">
        <v>96</v>
      </c>
      <c r="F617" s="182">
        <v>45363</v>
      </c>
      <c r="G617" s="186" t="s">
        <v>105</v>
      </c>
      <c r="H617" s="184" t="s">
        <v>106</v>
      </c>
    </row>
    <row r="618" spans="1:20">
      <c r="A618" s="182">
        <v>45288</v>
      </c>
      <c r="B618" s="183">
        <v>0.38872685185185185</v>
      </c>
      <c r="C618" s="184" t="s">
        <v>67</v>
      </c>
      <c r="D618" s="184" t="s">
        <v>78</v>
      </c>
      <c r="E618" s="184" t="s">
        <v>19</v>
      </c>
      <c r="F618" s="182">
        <v>45341</v>
      </c>
      <c r="G618" s="186" t="s">
        <v>94</v>
      </c>
      <c r="H618" s="184" t="s">
        <v>106</v>
      </c>
    </row>
    <row r="619" spans="1:20">
      <c r="A619" s="182">
        <v>45288</v>
      </c>
      <c r="B619" s="183">
        <v>0.45467592592592593</v>
      </c>
      <c r="C619" s="184" t="s">
        <v>67</v>
      </c>
      <c r="D619" s="184" t="s">
        <v>78</v>
      </c>
      <c r="E619" s="184" t="s">
        <v>1185</v>
      </c>
      <c r="F619" s="182">
        <v>44973</v>
      </c>
      <c r="G619" s="186" t="s">
        <v>70</v>
      </c>
      <c r="H619" s="184" t="s">
        <v>86</v>
      </c>
    </row>
    <row r="620" spans="1:20">
      <c r="A620" s="182">
        <v>45288</v>
      </c>
      <c r="B620" s="183">
        <v>0.48890046296296297</v>
      </c>
      <c r="C620" s="184" t="s">
        <v>67</v>
      </c>
      <c r="D620" s="184" t="s">
        <v>68</v>
      </c>
      <c r="E620" s="184" t="s">
        <v>96</v>
      </c>
      <c r="F620" s="182">
        <v>45363</v>
      </c>
      <c r="G620" s="186" t="s">
        <v>94</v>
      </c>
      <c r="H620" s="184" t="s">
        <v>117</v>
      </c>
      <c r="T620" s="184" t="s">
        <v>824</v>
      </c>
    </row>
    <row r="621" spans="1:20">
      <c r="A621" s="182">
        <v>45296</v>
      </c>
      <c r="B621" s="183">
        <v>0.38640046296296293</v>
      </c>
      <c r="C621" s="184" t="s">
        <v>67</v>
      </c>
      <c r="D621" s="184" t="s">
        <v>91</v>
      </c>
      <c r="E621" s="184" t="s">
        <v>69</v>
      </c>
      <c r="F621" s="182">
        <v>45317</v>
      </c>
      <c r="G621" s="186" t="s">
        <v>94</v>
      </c>
      <c r="H621" s="184" t="s">
        <v>92</v>
      </c>
    </row>
    <row r="622" spans="1:20">
      <c r="A622" s="182">
        <v>45296</v>
      </c>
      <c r="B622" s="183">
        <v>0.68587962962962967</v>
      </c>
      <c r="C622" s="184" t="s">
        <v>73</v>
      </c>
      <c r="D622" s="184" t="s">
        <v>68</v>
      </c>
      <c r="E622" s="184" t="s">
        <v>96</v>
      </c>
      <c r="F622" s="182">
        <v>45363</v>
      </c>
      <c r="G622" s="186" t="s">
        <v>114</v>
      </c>
      <c r="H622" s="184" t="s">
        <v>273</v>
      </c>
      <c r="T622" s="184" t="s">
        <v>257</v>
      </c>
    </row>
    <row r="623" spans="1:20">
      <c r="A623" s="182">
        <v>45300</v>
      </c>
      <c r="B623" s="183">
        <v>0.40354166666666669</v>
      </c>
      <c r="C623" s="184" t="s">
        <v>73</v>
      </c>
      <c r="D623" s="184" t="s">
        <v>68</v>
      </c>
      <c r="E623" s="184" t="s">
        <v>96</v>
      </c>
      <c r="F623" s="182">
        <v>45363</v>
      </c>
      <c r="G623" s="186" t="s">
        <v>94</v>
      </c>
      <c r="H623" s="184" t="s">
        <v>261</v>
      </c>
      <c r="T623" s="184" t="s">
        <v>1188</v>
      </c>
    </row>
    <row r="624" spans="1:20">
      <c r="A624" s="182">
        <v>45300</v>
      </c>
      <c r="B624" s="183">
        <v>0.45629629629629626</v>
      </c>
      <c r="C624" s="184" t="s">
        <v>73</v>
      </c>
      <c r="D624" s="184" t="s">
        <v>68</v>
      </c>
      <c r="E624" s="184" t="s">
        <v>69</v>
      </c>
      <c r="F624" s="182">
        <v>45317</v>
      </c>
      <c r="G624" s="186" t="s">
        <v>94</v>
      </c>
      <c r="H624" s="184" t="s">
        <v>76</v>
      </c>
      <c r="T624" s="184" t="s">
        <v>636</v>
      </c>
    </row>
    <row r="625" spans="1:20">
      <c r="A625" s="182">
        <v>45300</v>
      </c>
      <c r="B625" s="183">
        <v>0.58427083333333341</v>
      </c>
      <c r="C625" s="184" t="s">
        <v>67</v>
      </c>
      <c r="D625" s="184" t="s">
        <v>91</v>
      </c>
      <c r="E625" s="184" t="s">
        <v>45</v>
      </c>
      <c r="F625" s="182">
        <v>45332</v>
      </c>
      <c r="G625" s="186" t="s">
        <v>94</v>
      </c>
      <c r="H625" s="184" t="s">
        <v>92</v>
      </c>
    </row>
    <row r="626" spans="1:20">
      <c r="A626" s="182">
        <v>45301</v>
      </c>
      <c r="B626" s="183">
        <v>0.47229166666666672</v>
      </c>
      <c r="C626" s="184" t="s">
        <v>73</v>
      </c>
      <c r="D626" s="184" t="s">
        <v>68</v>
      </c>
      <c r="E626" s="184" t="s">
        <v>45</v>
      </c>
      <c r="F626" s="182">
        <v>45332</v>
      </c>
      <c r="G626" s="186" t="s">
        <v>112</v>
      </c>
      <c r="H626" s="184" t="s">
        <v>117</v>
      </c>
      <c r="T626" s="184" t="s">
        <v>1189</v>
      </c>
    </row>
    <row r="627" spans="1:20">
      <c r="A627" s="182">
        <v>45301</v>
      </c>
      <c r="B627" s="183">
        <v>0.55381944444444442</v>
      </c>
      <c r="C627" s="184" t="s">
        <v>67</v>
      </c>
      <c r="D627" s="184" t="s">
        <v>91</v>
      </c>
      <c r="E627" s="184" t="s">
        <v>19</v>
      </c>
      <c r="F627" s="182">
        <v>45341</v>
      </c>
      <c r="G627" s="186" t="s">
        <v>75</v>
      </c>
      <c r="H627" s="184" t="s">
        <v>92</v>
      </c>
    </row>
    <row r="628" spans="1:20">
      <c r="A628" s="182">
        <v>45301</v>
      </c>
      <c r="B628" s="183">
        <v>0.55557870370370377</v>
      </c>
      <c r="C628" s="184" t="s">
        <v>67</v>
      </c>
      <c r="D628" s="184" t="s">
        <v>91</v>
      </c>
      <c r="E628" s="184" t="s">
        <v>19</v>
      </c>
      <c r="F628" s="182">
        <v>45341</v>
      </c>
      <c r="G628" s="186" t="s">
        <v>94</v>
      </c>
      <c r="H628" s="184" t="s">
        <v>227</v>
      </c>
    </row>
    <row r="629" spans="1:20">
      <c r="A629" s="182">
        <v>45301</v>
      </c>
      <c r="B629" s="183">
        <v>0.5738657407407407</v>
      </c>
      <c r="C629" s="184" t="s">
        <v>67</v>
      </c>
      <c r="D629" s="184" t="s">
        <v>78</v>
      </c>
      <c r="E629" s="184" t="s">
        <v>1185</v>
      </c>
      <c r="F629" s="182">
        <v>45338</v>
      </c>
      <c r="G629" s="186" t="s">
        <v>114</v>
      </c>
      <c r="H629" s="184" t="s">
        <v>106</v>
      </c>
    </row>
    <row r="630" spans="1:20">
      <c r="A630" s="182">
        <v>45301</v>
      </c>
      <c r="B630" s="183">
        <v>0.57396990740740739</v>
      </c>
      <c r="C630" s="184" t="s">
        <v>67</v>
      </c>
      <c r="D630" s="184" t="s">
        <v>91</v>
      </c>
      <c r="E630" s="184" t="s">
        <v>1185</v>
      </c>
      <c r="F630" s="182">
        <v>45338</v>
      </c>
      <c r="G630" s="186" t="s">
        <v>79</v>
      </c>
      <c r="H630" s="184" t="s">
        <v>337</v>
      </c>
    </row>
    <row r="631" spans="1:20">
      <c r="A631" s="182">
        <v>45303</v>
      </c>
      <c r="B631" s="183">
        <v>0.38187499999999996</v>
      </c>
      <c r="C631" s="184" t="s">
        <v>67</v>
      </c>
      <c r="D631" s="184" t="s">
        <v>68</v>
      </c>
      <c r="E631" s="184" t="s">
        <v>96</v>
      </c>
      <c r="F631" s="182">
        <v>45363</v>
      </c>
      <c r="G631" s="186" t="s">
        <v>94</v>
      </c>
      <c r="H631" s="184" t="s">
        <v>260</v>
      </c>
      <c r="T631" s="184" t="s">
        <v>1190</v>
      </c>
    </row>
    <row r="632" spans="1:20">
      <c r="A632" s="182">
        <v>45303</v>
      </c>
      <c r="B632" s="183">
        <v>0.46938657407407408</v>
      </c>
      <c r="C632" s="184" t="s">
        <v>73</v>
      </c>
      <c r="D632" s="184" t="s">
        <v>68</v>
      </c>
      <c r="E632" s="184" t="s">
        <v>96</v>
      </c>
      <c r="F632" s="182">
        <v>45363</v>
      </c>
      <c r="G632" s="186" t="s">
        <v>94</v>
      </c>
      <c r="H632" s="184" t="s">
        <v>256</v>
      </c>
      <c r="T632" s="184" t="s">
        <v>411</v>
      </c>
    </row>
    <row r="633" spans="1:20">
      <c r="A633" s="182">
        <v>45303</v>
      </c>
      <c r="B633" s="183">
        <v>0.62377314814814822</v>
      </c>
      <c r="C633" s="184" t="s">
        <v>73</v>
      </c>
      <c r="D633" s="184" t="s">
        <v>68</v>
      </c>
      <c r="E633" s="184" t="s">
        <v>96</v>
      </c>
      <c r="F633" s="182">
        <v>45363</v>
      </c>
      <c r="G633" s="186" t="s">
        <v>114</v>
      </c>
      <c r="H633" s="184" t="s">
        <v>322</v>
      </c>
      <c r="T633" s="184" t="s">
        <v>158</v>
      </c>
    </row>
    <row r="634" spans="1:20">
      <c r="A634" s="182">
        <v>45306</v>
      </c>
      <c r="B634" s="183">
        <v>0.37844907407407408</v>
      </c>
      <c r="C634" s="184" t="s">
        <v>67</v>
      </c>
      <c r="D634" s="184" t="s">
        <v>91</v>
      </c>
      <c r="E634" s="184" t="s">
        <v>19</v>
      </c>
      <c r="F634" s="182">
        <v>45341</v>
      </c>
      <c r="G634" s="186" t="s">
        <v>264</v>
      </c>
      <c r="H634" s="184" t="s">
        <v>193</v>
      </c>
    </row>
    <row r="635" spans="1:20">
      <c r="A635" s="182">
        <v>45306</v>
      </c>
      <c r="B635" s="183">
        <v>0.58900462962962963</v>
      </c>
      <c r="C635" s="184" t="s">
        <v>73</v>
      </c>
      <c r="D635" s="184" t="s">
        <v>68</v>
      </c>
      <c r="E635" s="184" t="s">
        <v>96</v>
      </c>
      <c r="F635" s="182">
        <v>45363</v>
      </c>
      <c r="G635" s="186" t="s">
        <v>94</v>
      </c>
      <c r="H635" s="184" t="s">
        <v>185</v>
      </c>
      <c r="T635" s="184" t="s">
        <v>628</v>
      </c>
    </row>
    <row r="636" spans="1:20">
      <c r="A636" s="182">
        <v>45306</v>
      </c>
      <c r="B636" s="183">
        <v>0.59446759259259263</v>
      </c>
      <c r="C636" s="184" t="s">
        <v>73</v>
      </c>
      <c r="D636" s="184" t="s">
        <v>78</v>
      </c>
      <c r="E636" s="184" t="s">
        <v>1185</v>
      </c>
      <c r="F636" s="182">
        <v>45338</v>
      </c>
      <c r="G636" s="186" t="s">
        <v>94</v>
      </c>
      <c r="H636" s="184" t="s">
        <v>113</v>
      </c>
    </row>
    <row r="637" spans="1:20">
      <c r="A637" s="182">
        <v>45307</v>
      </c>
      <c r="B637" s="183">
        <v>0.38612268518518517</v>
      </c>
      <c r="C637" s="184" t="s">
        <v>67</v>
      </c>
      <c r="D637" s="184" t="s">
        <v>68</v>
      </c>
      <c r="E637" s="184" t="s">
        <v>96</v>
      </c>
      <c r="F637" s="182">
        <v>45363</v>
      </c>
      <c r="G637" s="186" t="s">
        <v>94</v>
      </c>
      <c r="H637" s="184" t="s">
        <v>308</v>
      </c>
      <c r="T637" s="184" t="s">
        <v>482</v>
      </c>
    </row>
    <row r="638" spans="1:20">
      <c r="A638" s="182">
        <v>45307</v>
      </c>
      <c r="B638" s="183">
        <v>0.41562499999999997</v>
      </c>
      <c r="C638" s="184" t="s">
        <v>67</v>
      </c>
      <c r="D638" s="184" t="s">
        <v>91</v>
      </c>
      <c r="E638" s="184" t="s">
        <v>1185</v>
      </c>
      <c r="F638" s="182">
        <v>45338</v>
      </c>
      <c r="G638" s="186" t="s">
        <v>114</v>
      </c>
      <c r="H638" s="184" t="s">
        <v>296</v>
      </c>
    </row>
    <row r="639" spans="1:20">
      <c r="A639" s="182">
        <v>45307</v>
      </c>
      <c r="B639" s="183">
        <v>0.61952546296296296</v>
      </c>
      <c r="C639" s="184" t="s">
        <v>67</v>
      </c>
      <c r="D639" s="184" t="s">
        <v>68</v>
      </c>
      <c r="E639" s="184" t="s">
        <v>96</v>
      </c>
      <c r="F639" s="182">
        <v>45363</v>
      </c>
      <c r="G639" s="186" t="s">
        <v>94</v>
      </c>
      <c r="H639" s="184" t="s">
        <v>190</v>
      </c>
      <c r="T639" s="184" t="s">
        <v>1194</v>
      </c>
    </row>
    <row r="640" spans="1:20">
      <c r="A640" s="182">
        <v>45307</v>
      </c>
      <c r="B640" s="183">
        <v>0.63576388888888891</v>
      </c>
      <c r="C640" s="184" t="s">
        <v>67</v>
      </c>
      <c r="D640" s="184" t="s">
        <v>68</v>
      </c>
      <c r="E640" s="184" t="s">
        <v>96</v>
      </c>
      <c r="F640" s="182">
        <v>45363</v>
      </c>
      <c r="G640" s="186" t="s">
        <v>94</v>
      </c>
      <c r="H640" s="184" t="s">
        <v>206</v>
      </c>
      <c r="T640" s="184" t="s">
        <v>1195</v>
      </c>
    </row>
    <row r="641" spans="1:20">
      <c r="A641" s="182">
        <v>45307</v>
      </c>
      <c r="B641" s="183">
        <v>0.64128472222222221</v>
      </c>
      <c r="C641" s="184" t="s">
        <v>67</v>
      </c>
      <c r="D641" s="184" t="s">
        <v>68</v>
      </c>
      <c r="E641" s="184" t="s">
        <v>1185</v>
      </c>
      <c r="F641" s="182">
        <v>45338</v>
      </c>
      <c r="G641" s="186" t="s">
        <v>105</v>
      </c>
      <c r="H641" s="184" t="s">
        <v>87</v>
      </c>
      <c r="T641" s="184" t="s">
        <v>118</v>
      </c>
    </row>
    <row r="642" spans="1:20">
      <c r="A642" s="182">
        <v>45307</v>
      </c>
      <c r="B642" s="183">
        <v>0.68361111111111106</v>
      </c>
      <c r="C642" s="184" t="s">
        <v>67</v>
      </c>
      <c r="D642" s="184" t="s">
        <v>78</v>
      </c>
      <c r="E642" s="184" t="s">
        <v>45</v>
      </c>
      <c r="F642" s="182">
        <v>45332</v>
      </c>
      <c r="G642" s="186" t="s">
        <v>83</v>
      </c>
      <c r="H642" s="184" t="s">
        <v>267</v>
      </c>
    </row>
    <row r="643" spans="1:20">
      <c r="A643" s="182">
        <v>45307</v>
      </c>
      <c r="B643" s="183">
        <v>0.6837847222222222</v>
      </c>
      <c r="C643" s="184" t="s">
        <v>67</v>
      </c>
      <c r="D643" s="184" t="s">
        <v>78</v>
      </c>
      <c r="E643" s="184" t="s">
        <v>19</v>
      </c>
      <c r="F643" s="182">
        <v>45341</v>
      </c>
      <c r="G643" s="186" t="s">
        <v>83</v>
      </c>
      <c r="H643" s="184" t="s">
        <v>267</v>
      </c>
    </row>
    <row r="644" spans="1:20">
      <c r="A644" s="182">
        <v>45308</v>
      </c>
      <c r="B644" s="183">
        <v>0.41334490740740742</v>
      </c>
      <c r="C644" s="184" t="s">
        <v>67</v>
      </c>
      <c r="D644" s="184" t="s">
        <v>68</v>
      </c>
      <c r="E644" s="184" t="s">
        <v>19</v>
      </c>
      <c r="F644" s="182">
        <v>45341</v>
      </c>
      <c r="G644" s="186" t="s">
        <v>94</v>
      </c>
      <c r="H644" s="184" t="s">
        <v>260</v>
      </c>
      <c r="T644" s="184" t="s">
        <v>1196</v>
      </c>
    </row>
    <row r="645" spans="1:20">
      <c r="A645" s="182">
        <v>45308</v>
      </c>
      <c r="B645" s="183">
        <v>0.42686342592592591</v>
      </c>
      <c r="C645" s="184" t="s">
        <v>67</v>
      </c>
      <c r="D645" s="184" t="s">
        <v>91</v>
      </c>
      <c r="E645" s="184" t="s">
        <v>1197</v>
      </c>
      <c r="F645" s="182">
        <v>45353</v>
      </c>
      <c r="G645" s="186" t="s">
        <v>70</v>
      </c>
      <c r="H645" s="184" t="s">
        <v>93</v>
      </c>
    </row>
    <row r="646" spans="1:20">
      <c r="A646" s="182">
        <v>45308</v>
      </c>
      <c r="B646" s="183">
        <v>0.46412037037037041</v>
      </c>
      <c r="C646" s="184" t="s">
        <v>73</v>
      </c>
      <c r="D646" s="184" t="s">
        <v>68</v>
      </c>
      <c r="E646" s="184" t="s">
        <v>19</v>
      </c>
      <c r="F646" s="182">
        <v>45341</v>
      </c>
      <c r="G646" s="186" t="s">
        <v>99</v>
      </c>
      <c r="H646" s="184" t="s">
        <v>261</v>
      </c>
      <c r="T646" s="184" t="s">
        <v>412</v>
      </c>
    </row>
    <row r="647" spans="1:20">
      <c r="A647" s="182">
        <v>45308</v>
      </c>
      <c r="B647" s="183">
        <v>0.4919675925925926</v>
      </c>
      <c r="C647" s="184" t="s">
        <v>67</v>
      </c>
      <c r="D647" s="184" t="s">
        <v>91</v>
      </c>
      <c r="E647" s="184" t="s">
        <v>1185</v>
      </c>
      <c r="F647" s="182">
        <v>45338</v>
      </c>
      <c r="G647" s="186" t="s">
        <v>94</v>
      </c>
      <c r="H647" s="184" t="s">
        <v>303</v>
      </c>
    </row>
    <row r="648" spans="1:20">
      <c r="A648" s="182">
        <v>45308</v>
      </c>
      <c r="B648" s="183">
        <v>0.50325231481481481</v>
      </c>
      <c r="C648" s="184" t="s">
        <v>73</v>
      </c>
      <c r="D648" s="184" t="s">
        <v>68</v>
      </c>
      <c r="E648" s="184" t="s">
        <v>96</v>
      </c>
      <c r="F648" s="182">
        <v>45363</v>
      </c>
      <c r="G648" s="186" t="s">
        <v>94</v>
      </c>
      <c r="H648" s="184" t="s">
        <v>209</v>
      </c>
      <c r="T648" s="184" t="s">
        <v>420</v>
      </c>
    </row>
    <row r="649" spans="1:20">
      <c r="A649" s="182">
        <v>45308</v>
      </c>
      <c r="B649" s="183">
        <v>0.57143518518518521</v>
      </c>
      <c r="C649" s="184" t="s">
        <v>73</v>
      </c>
      <c r="D649" s="184" t="s">
        <v>68</v>
      </c>
      <c r="E649" s="184" t="s">
        <v>96</v>
      </c>
      <c r="F649" s="182">
        <v>45363</v>
      </c>
      <c r="G649" s="186" t="s">
        <v>94</v>
      </c>
      <c r="H649" s="184" t="s">
        <v>272</v>
      </c>
      <c r="T649" s="184" t="s">
        <v>411</v>
      </c>
    </row>
    <row r="650" spans="1:20">
      <c r="A650" s="182">
        <v>45308</v>
      </c>
      <c r="B650" s="183">
        <v>0.66600694444444442</v>
      </c>
      <c r="C650" s="184" t="s">
        <v>73</v>
      </c>
      <c r="D650" s="184" t="s">
        <v>68</v>
      </c>
      <c r="E650" s="184" t="s">
        <v>96</v>
      </c>
      <c r="F650" s="182">
        <v>45363</v>
      </c>
      <c r="G650" s="186" t="s">
        <v>94</v>
      </c>
      <c r="H650" s="184" t="s">
        <v>213</v>
      </c>
      <c r="T650" s="184" t="s">
        <v>1200</v>
      </c>
    </row>
    <row r="651" spans="1:20">
      <c r="A651" s="182">
        <v>45308</v>
      </c>
      <c r="B651" s="183">
        <v>0.66791666666666671</v>
      </c>
      <c r="C651" s="184" t="s">
        <v>73</v>
      </c>
      <c r="D651" s="184" t="s">
        <v>91</v>
      </c>
      <c r="E651" s="184" t="s">
        <v>1197</v>
      </c>
      <c r="F651" s="182">
        <v>45353</v>
      </c>
      <c r="G651" s="186" t="s">
        <v>114</v>
      </c>
      <c r="H651" s="184" t="s">
        <v>227</v>
      </c>
    </row>
    <row r="652" spans="1:20">
      <c r="A652" s="182">
        <v>45308</v>
      </c>
      <c r="B652" s="183">
        <v>0.66809027777777785</v>
      </c>
      <c r="C652" s="184" t="s">
        <v>73</v>
      </c>
      <c r="D652" s="184" t="s">
        <v>91</v>
      </c>
      <c r="E652" s="184" t="s">
        <v>1185</v>
      </c>
      <c r="F652" s="182">
        <v>45338</v>
      </c>
      <c r="G652" s="186" t="s">
        <v>114</v>
      </c>
      <c r="H652" s="184" t="s">
        <v>326</v>
      </c>
    </row>
    <row r="653" spans="1:20">
      <c r="A653" s="182">
        <v>45308</v>
      </c>
      <c r="B653" s="183">
        <v>0.66843750000000002</v>
      </c>
      <c r="C653" s="184" t="s">
        <v>73</v>
      </c>
      <c r="D653" s="184" t="s">
        <v>78</v>
      </c>
      <c r="E653" s="184" t="s">
        <v>1185</v>
      </c>
      <c r="F653" s="182">
        <v>45338</v>
      </c>
      <c r="G653" s="186" t="s">
        <v>114</v>
      </c>
      <c r="H653" s="184" t="s">
        <v>288</v>
      </c>
    </row>
    <row r="654" spans="1:20">
      <c r="A654" s="182">
        <v>45309</v>
      </c>
      <c r="B654" s="183">
        <v>0.39475694444444448</v>
      </c>
      <c r="C654" s="184" t="s">
        <v>67</v>
      </c>
      <c r="D654" s="184" t="s">
        <v>68</v>
      </c>
      <c r="E654" s="184" t="s">
        <v>45</v>
      </c>
      <c r="F654" s="182">
        <v>45332</v>
      </c>
      <c r="G654" s="186" t="s">
        <v>94</v>
      </c>
      <c r="H654" s="184" t="s">
        <v>259</v>
      </c>
      <c r="T654" s="184" t="s">
        <v>1202</v>
      </c>
    </row>
    <row r="655" spans="1:20">
      <c r="A655" s="182">
        <v>45309</v>
      </c>
      <c r="B655" s="183">
        <v>0.41321759259259255</v>
      </c>
      <c r="C655" s="184" t="s">
        <v>67</v>
      </c>
      <c r="D655" s="184" t="s">
        <v>68</v>
      </c>
      <c r="E655" s="184" t="s">
        <v>19</v>
      </c>
      <c r="F655" s="182">
        <v>45341</v>
      </c>
      <c r="G655" s="186" t="s">
        <v>94</v>
      </c>
      <c r="H655" s="184" t="s">
        <v>260</v>
      </c>
      <c r="T655" s="184" t="s">
        <v>411</v>
      </c>
    </row>
    <row r="656" spans="1:20">
      <c r="A656" s="182">
        <v>45309</v>
      </c>
      <c r="B656" s="183">
        <v>0.69853009259259258</v>
      </c>
      <c r="C656" s="184" t="s">
        <v>67</v>
      </c>
      <c r="D656" s="184" t="s">
        <v>68</v>
      </c>
      <c r="E656" s="184" t="s">
        <v>1185</v>
      </c>
      <c r="F656" s="182">
        <v>45338</v>
      </c>
      <c r="G656" s="186" t="s">
        <v>114</v>
      </c>
      <c r="H656" s="184" t="s">
        <v>103</v>
      </c>
      <c r="T656" s="184" t="s">
        <v>316</v>
      </c>
    </row>
    <row r="657" spans="1:20">
      <c r="A657" s="182">
        <v>45310</v>
      </c>
      <c r="B657" s="183">
        <v>0.37822916666666667</v>
      </c>
      <c r="C657" s="184" t="s">
        <v>73</v>
      </c>
      <c r="D657" s="184" t="s">
        <v>78</v>
      </c>
      <c r="E657" s="184" t="s">
        <v>1197</v>
      </c>
      <c r="F657" s="182">
        <v>45353</v>
      </c>
      <c r="G657" s="186" t="s">
        <v>119</v>
      </c>
      <c r="H657" s="184" t="s">
        <v>265</v>
      </c>
    </row>
    <row r="658" spans="1:20">
      <c r="A658" s="182">
        <v>45310</v>
      </c>
      <c r="B658" s="183">
        <v>0.40138888888888885</v>
      </c>
      <c r="C658" s="184" t="s">
        <v>67</v>
      </c>
      <c r="D658" s="184" t="s">
        <v>78</v>
      </c>
      <c r="E658" s="184" t="s">
        <v>1185</v>
      </c>
      <c r="F658" s="182">
        <v>45338</v>
      </c>
      <c r="G658" s="186" t="s">
        <v>94</v>
      </c>
      <c r="H658" s="184" t="s">
        <v>267</v>
      </c>
    </row>
    <row r="659" spans="1:20">
      <c r="A659" s="182">
        <v>45310</v>
      </c>
      <c r="B659" s="183">
        <v>0.41052083333333328</v>
      </c>
      <c r="C659" s="184" t="s">
        <v>73</v>
      </c>
      <c r="D659" s="184" t="s">
        <v>78</v>
      </c>
      <c r="E659" s="184" t="s">
        <v>1197</v>
      </c>
      <c r="F659" s="182">
        <v>45353</v>
      </c>
      <c r="G659" s="186" t="s">
        <v>114</v>
      </c>
      <c r="H659" s="184" t="s">
        <v>267</v>
      </c>
    </row>
    <row r="660" spans="1:20">
      <c r="A660" s="182">
        <v>45310</v>
      </c>
      <c r="B660" s="183">
        <v>0.42046296296296298</v>
      </c>
      <c r="C660" s="184" t="s">
        <v>73</v>
      </c>
      <c r="D660" s="184" t="s">
        <v>68</v>
      </c>
      <c r="E660" s="184" t="s">
        <v>19</v>
      </c>
      <c r="F660" s="182">
        <v>45341</v>
      </c>
      <c r="G660" s="186" t="s">
        <v>70</v>
      </c>
      <c r="H660" s="184" t="s">
        <v>256</v>
      </c>
      <c r="T660" s="184" t="s">
        <v>1203</v>
      </c>
    </row>
    <row r="661" spans="1:20">
      <c r="A661" s="182">
        <v>45310</v>
      </c>
      <c r="B661" s="183">
        <v>0.47119212962962959</v>
      </c>
      <c r="C661" s="184" t="s">
        <v>73</v>
      </c>
      <c r="D661" s="184" t="s">
        <v>68</v>
      </c>
      <c r="E661" s="184" t="s">
        <v>19</v>
      </c>
      <c r="F661" s="182">
        <v>45341</v>
      </c>
      <c r="G661" s="186" t="s">
        <v>94</v>
      </c>
      <c r="H661" s="184" t="s">
        <v>305</v>
      </c>
      <c r="T661" s="184" t="s">
        <v>1204</v>
      </c>
    </row>
    <row r="662" spans="1:20">
      <c r="A662" s="182">
        <v>45310</v>
      </c>
      <c r="B662" s="183">
        <v>0.47268518518518521</v>
      </c>
      <c r="C662" s="184" t="s">
        <v>67</v>
      </c>
      <c r="D662" s="184" t="s">
        <v>78</v>
      </c>
      <c r="E662" s="184" t="s">
        <v>1197</v>
      </c>
      <c r="F662" s="182">
        <v>45353</v>
      </c>
      <c r="G662" s="186" t="s">
        <v>178</v>
      </c>
      <c r="H662" s="184" t="s">
        <v>116</v>
      </c>
    </row>
    <row r="663" spans="1:20">
      <c r="A663" s="182">
        <v>45310</v>
      </c>
      <c r="B663" s="183">
        <v>0.58422453703703703</v>
      </c>
      <c r="C663" s="184" t="s">
        <v>73</v>
      </c>
      <c r="D663" s="184" t="s">
        <v>68</v>
      </c>
      <c r="E663" s="184" t="s">
        <v>96</v>
      </c>
      <c r="F663" s="182">
        <v>45363</v>
      </c>
      <c r="G663" s="186" t="s">
        <v>115</v>
      </c>
      <c r="H663" s="184" t="s">
        <v>209</v>
      </c>
      <c r="T663" s="184" t="s">
        <v>158</v>
      </c>
    </row>
    <row r="664" spans="1:20">
      <c r="A664" s="182">
        <v>45310</v>
      </c>
      <c r="B664" s="183">
        <v>0.58498842592592593</v>
      </c>
      <c r="C664" s="184" t="s">
        <v>73</v>
      </c>
      <c r="D664" s="184" t="s">
        <v>159</v>
      </c>
      <c r="E664" s="184" t="s">
        <v>96</v>
      </c>
      <c r="F664" s="182">
        <v>45363</v>
      </c>
      <c r="G664" s="186" t="s">
        <v>114</v>
      </c>
      <c r="H664" s="184" t="s">
        <v>228</v>
      </c>
      <c r="I664" s="184" t="s">
        <v>1205</v>
      </c>
    </row>
    <row r="665" spans="1:20">
      <c r="A665" s="182">
        <v>45313</v>
      </c>
      <c r="B665" s="183">
        <v>0.48447916666666663</v>
      </c>
      <c r="C665" s="184" t="s">
        <v>73</v>
      </c>
      <c r="D665" s="184" t="s">
        <v>91</v>
      </c>
      <c r="E665" s="184" t="s">
        <v>1197</v>
      </c>
      <c r="F665" s="182">
        <v>45353</v>
      </c>
      <c r="G665" s="186" t="s">
        <v>112</v>
      </c>
      <c r="H665" s="184" t="s">
        <v>229</v>
      </c>
    </row>
    <row r="666" spans="1:20">
      <c r="A666" s="182">
        <v>45313</v>
      </c>
      <c r="B666" s="183">
        <v>0.57076388888888896</v>
      </c>
      <c r="C666" s="184" t="s">
        <v>73</v>
      </c>
      <c r="D666" s="184" t="s">
        <v>78</v>
      </c>
      <c r="E666" s="184" t="s">
        <v>1197</v>
      </c>
      <c r="F666" s="182">
        <v>45353</v>
      </c>
      <c r="G666" s="186" t="s">
        <v>94</v>
      </c>
      <c r="H666" s="184" t="s">
        <v>84</v>
      </c>
    </row>
    <row r="667" spans="1:20">
      <c r="A667" s="182">
        <v>45313</v>
      </c>
      <c r="B667" s="183">
        <v>0.65103009259259259</v>
      </c>
      <c r="C667" s="184" t="s">
        <v>73</v>
      </c>
      <c r="D667" s="184" t="s">
        <v>91</v>
      </c>
      <c r="E667" s="184" t="s">
        <v>96</v>
      </c>
      <c r="F667" s="182">
        <v>45363</v>
      </c>
      <c r="G667" s="186" t="s">
        <v>70</v>
      </c>
      <c r="H667" s="184" t="s">
        <v>93</v>
      </c>
    </row>
    <row r="668" spans="1:20">
      <c r="A668" s="182">
        <v>45313</v>
      </c>
      <c r="B668" s="183">
        <v>0.65125</v>
      </c>
      <c r="C668" s="184" t="s">
        <v>73</v>
      </c>
      <c r="D668" s="184" t="s">
        <v>91</v>
      </c>
      <c r="E668" s="184" t="s">
        <v>1185</v>
      </c>
      <c r="F668" s="182">
        <v>45338</v>
      </c>
      <c r="G668" s="186" t="s">
        <v>94</v>
      </c>
      <c r="H668" s="184" t="s">
        <v>335</v>
      </c>
    </row>
    <row r="669" spans="1:20">
      <c r="A669" s="182">
        <v>45313</v>
      </c>
      <c r="B669" s="183">
        <v>0.69237268518518524</v>
      </c>
      <c r="C669" s="184" t="s">
        <v>73</v>
      </c>
      <c r="D669" s="184" t="s">
        <v>78</v>
      </c>
      <c r="E669" s="184" t="s">
        <v>1185</v>
      </c>
      <c r="F669" s="182">
        <v>45338</v>
      </c>
      <c r="G669" s="186" t="s">
        <v>114</v>
      </c>
      <c r="H669" s="184" t="s">
        <v>82</v>
      </c>
    </row>
    <row r="670" spans="1:20">
      <c r="A670" s="182">
        <v>45314</v>
      </c>
      <c r="B670" s="183">
        <v>0.45640046296296299</v>
      </c>
      <c r="C670" s="184" t="s">
        <v>73</v>
      </c>
      <c r="D670" s="184" t="s">
        <v>68</v>
      </c>
      <c r="E670" s="184" t="s">
        <v>96</v>
      </c>
      <c r="F670" s="182">
        <v>45363</v>
      </c>
      <c r="G670" s="186" t="s">
        <v>114</v>
      </c>
      <c r="H670" s="184" t="s">
        <v>213</v>
      </c>
      <c r="T670" s="184" t="s">
        <v>1062</v>
      </c>
    </row>
    <row r="671" spans="1:20">
      <c r="A671" s="182">
        <v>45314</v>
      </c>
      <c r="B671" s="183">
        <v>0.67966435185185192</v>
      </c>
      <c r="C671" s="184" t="s">
        <v>73</v>
      </c>
      <c r="D671" s="184" t="s">
        <v>68</v>
      </c>
      <c r="E671" s="184" t="s">
        <v>96</v>
      </c>
      <c r="F671" s="182">
        <v>45363</v>
      </c>
      <c r="G671" s="186" t="s">
        <v>94</v>
      </c>
      <c r="H671" s="184" t="s">
        <v>225</v>
      </c>
      <c r="T671" s="184" t="s">
        <v>1206</v>
      </c>
    </row>
    <row r="672" spans="1:20">
      <c r="A672" s="182">
        <v>45314</v>
      </c>
      <c r="B672" s="183">
        <v>0.6900115740740741</v>
      </c>
      <c r="C672" s="184" t="s">
        <v>73</v>
      </c>
      <c r="D672" s="184" t="s">
        <v>68</v>
      </c>
      <c r="E672" s="184" t="s">
        <v>69</v>
      </c>
      <c r="F672" s="182">
        <v>45317</v>
      </c>
      <c r="G672" s="186" t="s">
        <v>94</v>
      </c>
      <c r="H672" s="184" t="s">
        <v>87</v>
      </c>
      <c r="T672" s="184" t="s">
        <v>1207</v>
      </c>
    </row>
    <row r="673" spans="1:20">
      <c r="A673" s="182">
        <v>45315</v>
      </c>
      <c r="B673" s="183">
        <v>0.59475694444444438</v>
      </c>
      <c r="C673" s="184" t="s">
        <v>67</v>
      </c>
      <c r="D673" s="184" t="s">
        <v>78</v>
      </c>
      <c r="E673" s="184" t="s">
        <v>45</v>
      </c>
      <c r="F673" s="182">
        <v>45332</v>
      </c>
      <c r="G673" s="186" t="s">
        <v>94</v>
      </c>
      <c r="H673" s="184" t="s">
        <v>327</v>
      </c>
    </row>
    <row r="674" spans="1:20">
      <c r="A674" s="182">
        <v>45316</v>
      </c>
      <c r="B674" s="183">
        <v>0.54125000000000001</v>
      </c>
      <c r="C674" s="184" t="s">
        <v>67</v>
      </c>
      <c r="D674" s="184" t="s">
        <v>68</v>
      </c>
      <c r="E674" s="184" t="s">
        <v>96</v>
      </c>
      <c r="F674" s="182">
        <v>45363</v>
      </c>
      <c r="G674" s="186" t="s">
        <v>94</v>
      </c>
      <c r="H674" s="184" t="s">
        <v>231</v>
      </c>
      <c r="T674" s="184" t="s">
        <v>1210</v>
      </c>
    </row>
    <row r="675" spans="1:20">
      <c r="A675" s="182">
        <v>45316</v>
      </c>
      <c r="B675" s="183">
        <v>0.62115740740740744</v>
      </c>
      <c r="C675" s="184" t="s">
        <v>67</v>
      </c>
      <c r="D675" s="184" t="s">
        <v>91</v>
      </c>
      <c r="E675" s="184" t="s">
        <v>1197</v>
      </c>
      <c r="F675" s="182">
        <v>45353</v>
      </c>
      <c r="G675" s="186" t="s">
        <v>114</v>
      </c>
      <c r="H675" s="184" t="s">
        <v>218</v>
      </c>
    </row>
    <row r="676" spans="1:20">
      <c r="A676" s="182">
        <v>45317</v>
      </c>
      <c r="B676" s="183">
        <v>0.55228009259259259</v>
      </c>
      <c r="C676" s="184" t="s">
        <v>73</v>
      </c>
      <c r="D676" s="184" t="s">
        <v>68</v>
      </c>
      <c r="E676" s="184" t="s">
        <v>96</v>
      </c>
      <c r="F676" s="182">
        <v>45363</v>
      </c>
      <c r="G676" s="186" t="s">
        <v>94</v>
      </c>
      <c r="H676" s="184" t="s">
        <v>239</v>
      </c>
      <c r="T676" s="184" t="s">
        <v>234</v>
      </c>
    </row>
    <row r="677" spans="1:20">
      <c r="A677" s="182">
        <v>45320</v>
      </c>
      <c r="B677" s="183">
        <v>0.43292824074074071</v>
      </c>
      <c r="C677" s="184" t="s">
        <v>67</v>
      </c>
      <c r="D677" s="184" t="s">
        <v>78</v>
      </c>
      <c r="E677" s="184" t="s">
        <v>1197</v>
      </c>
      <c r="F677" s="182">
        <v>45380</v>
      </c>
      <c r="G677" s="186" t="s">
        <v>75</v>
      </c>
      <c r="H677" s="184" t="s">
        <v>107</v>
      </c>
    </row>
    <row r="678" spans="1:20">
      <c r="A678" s="182">
        <v>45320</v>
      </c>
      <c r="B678" s="183">
        <v>0.47015046296296298</v>
      </c>
      <c r="C678" s="184" t="s">
        <v>67</v>
      </c>
      <c r="D678" s="184" t="s">
        <v>91</v>
      </c>
      <c r="E678" s="184" t="s">
        <v>1185</v>
      </c>
      <c r="F678" s="182">
        <v>45338</v>
      </c>
      <c r="G678" s="186" t="s">
        <v>160</v>
      </c>
      <c r="H678" s="184" t="s">
        <v>303</v>
      </c>
    </row>
    <row r="679" spans="1:20">
      <c r="A679" s="182">
        <v>45321</v>
      </c>
      <c r="B679" s="183">
        <v>0.43887731481481485</v>
      </c>
      <c r="C679" s="184" t="s">
        <v>73</v>
      </c>
      <c r="D679" s="184" t="s">
        <v>159</v>
      </c>
      <c r="E679" s="184" t="s">
        <v>96</v>
      </c>
      <c r="F679" s="182">
        <v>45363</v>
      </c>
      <c r="G679" s="186" t="s">
        <v>94</v>
      </c>
      <c r="H679" s="184" t="s">
        <v>248</v>
      </c>
      <c r="I679" s="184" t="s">
        <v>1211</v>
      </c>
    </row>
    <row r="680" spans="1:20">
      <c r="A680" s="182">
        <v>45321</v>
      </c>
      <c r="B680" s="183">
        <v>0.46908564814814818</v>
      </c>
      <c r="C680" s="184" t="s">
        <v>73</v>
      </c>
      <c r="D680" s="184" t="s">
        <v>68</v>
      </c>
      <c r="E680" s="184" t="s">
        <v>96</v>
      </c>
      <c r="F680" s="182">
        <v>45363</v>
      </c>
      <c r="G680" s="186" t="s">
        <v>94</v>
      </c>
      <c r="H680" s="184" t="s">
        <v>241</v>
      </c>
      <c r="T680" s="184" t="s">
        <v>420</v>
      </c>
    </row>
    <row r="681" spans="1:20">
      <c r="A681" s="182">
        <v>45321</v>
      </c>
      <c r="B681" s="183">
        <v>0.65054398148148151</v>
      </c>
      <c r="C681" s="184" t="s">
        <v>73</v>
      </c>
      <c r="D681" s="184" t="s">
        <v>91</v>
      </c>
      <c r="E681" s="184" t="s">
        <v>1185</v>
      </c>
      <c r="F681" s="182">
        <v>45338</v>
      </c>
      <c r="G681" s="186" t="s">
        <v>112</v>
      </c>
      <c r="H681" s="184" t="s">
        <v>335</v>
      </c>
      <c r="I681" s="182" t="s">
        <v>1213</v>
      </c>
    </row>
    <row r="682" spans="1:20">
      <c r="A682" s="182">
        <v>45321</v>
      </c>
      <c r="B682" s="183">
        <v>0.65121527777777777</v>
      </c>
      <c r="C682" s="184" t="s">
        <v>73</v>
      </c>
      <c r="D682" s="184" t="s">
        <v>91</v>
      </c>
      <c r="E682" s="184" t="s">
        <v>1197</v>
      </c>
      <c r="F682" s="182">
        <v>45353</v>
      </c>
      <c r="G682" s="186" t="s">
        <v>160</v>
      </c>
      <c r="H682" s="184" t="s">
        <v>120</v>
      </c>
      <c r="I682" s="184" t="s">
        <v>1212</v>
      </c>
    </row>
    <row r="683" spans="1:20">
      <c r="A683" s="182">
        <v>45321</v>
      </c>
      <c r="B683" s="183">
        <v>0.65423611111111113</v>
      </c>
      <c r="C683" s="184" t="s">
        <v>73</v>
      </c>
      <c r="D683" s="184" t="s">
        <v>68</v>
      </c>
      <c r="E683" s="184" t="s">
        <v>1197</v>
      </c>
      <c r="F683" s="182">
        <v>45353</v>
      </c>
      <c r="G683" s="186" t="s">
        <v>114</v>
      </c>
      <c r="H683" s="184" t="s">
        <v>182</v>
      </c>
      <c r="T683" s="184" t="s">
        <v>544</v>
      </c>
    </row>
    <row r="684" spans="1:20">
      <c r="A684" s="182">
        <v>45322</v>
      </c>
      <c r="B684" s="183">
        <v>0.43809027777777776</v>
      </c>
      <c r="C684" s="184" t="s">
        <v>73</v>
      </c>
      <c r="D684" s="184" t="s">
        <v>78</v>
      </c>
      <c r="E684" s="184" t="s">
        <v>45</v>
      </c>
      <c r="F684" s="182">
        <v>45332</v>
      </c>
      <c r="G684" s="186" t="s">
        <v>114</v>
      </c>
      <c r="H684" s="184" t="s">
        <v>80</v>
      </c>
    </row>
    <row r="685" spans="1:20">
      <c r="A685" s="182">
        <v>45322</v>
      </c>
      <c r="B685" s="183">
        <v>0.43821759259259263</v>
      </c>
      <c r="C685" s="184" t="s">
        <v>73</v>
      </c>
      <c r="D685" s="184" t="s">
        <v>78</v>
      </c>
      <c r="E685" s="184" t="s">
        <v>45</v>
      </c>
      <c r="F685" s="182">
        <v>45332</v>
      </c>
      <c r="G685" s="186" t="s">
        <v>94</v>
      </c>
      <c r="H685" s="184" t="s">
        <v>98</v>
      </c>
    </row>
    <row r="686" spans="1:20">
      <c r="A686" s="182">
        <v>45323</v>
      </c>
      <c r="B686" s="183">
        <v>0.68135416666666659</v>
      </c>
      <c r="C686" s="184" t="s">
        <v>67</v>
      </c>
      <c r="D686" s="184" t="s">
        <v>78</v>
      </c>
      <c r="E686" s="184" t="s">
        <v>1197</v>
      </c>
      <c r="F686" s="182">
        <v>45353</v>
      </c>
      <c r="G686" s="186" t="s">
        <v>94</v>
      </c>
      <c r="H686" s="184" t="s">
        <v>297</v>
      </c>
    </row>
    <row r="687" spans="1:20">
      <c r="A687" s="182">
        <v>45324</v>
      </c>
      <c r="B687" s="183">
        <v>0.42657407407407405</v>
      </c>
      <c r="C687" s="184" t="s">
        <v>67</v>
      </c>
      <c r="D687" s="184" t="s">
        <v>68</v>
      </c>
      <c r="E687" s="184" t="s">
        <v>96</v>
      </c>
      <c r="F687" s="182">
        <v>45363</v>
      </c>
      <c r="G687" s="186" t="s">
        <v>94</v>
      </c>
      <c r="H687" s="184" t="s">
        <v>245</v>
      </c>
      <c r="T687" s="184" t="s">
        <v>1214</v>
      </c>
    </row>
    <row r="688" spans="1:20">
      <c r="A688" s="182">
        <v>45324</v>
      </c>
      <c r="B688" s="183">
        <v>0.5550694444444445</v>
      </c>
      <c r="C688" s="184" t="s">
        <v>67</v>
      </c>
      <c r="D688" s="184" t="s">
        <v>68</v>
      </c>
      <c r="E688" s="184" t="s">
        <v>96</v>
      </c>
      <c r="F688" s="182">
        <v>45363</v>
      </c>
      <c r="G688" s="186" t="s">
        <v>114</v>
      </c>
      <c r="H688" s="184" t="s">
        <v>392</v>
      </c>
      <c r="T688" s="184" t="s">
        <v>567</v>
      </c>
    </row>
    <row r="689" spans="1:20">
      <c r="A689" s="182">
        <v>45327</v>
      </c>
      <c r="B689" s="183">
        <v>0.40831018518518519</v>
      </c>
      <c r="C689" s="184" t="s">
        <v>73</v>
      </c>
      <c r="D689" s="184" t="s">
        <v>78</v>
      </c>
      <c r="E689" s="184" t="s">
        <v>19</v>
      </c>
      <c r="F689" s="182">
        <v>45341</v>
      </c>
      <c r="G689" s="186" t="s">
        <v>99</v>
      </c>
      <c r="H689" s="184" t="s">
        <v>288</v>
      </c>
    </row>
    <row r="690" spans="1:20">
      <c r="A690" s="182">
        <v>45327</v>
      </c>
      <c r="B690" s="183">
        <v>0.41008101851851847</v>
      </c>
      <c r="C690" s="184" t="s">
        <v>73</v>
      </c>
      <c r="D690" s="184" t="s">
        <v>68</v>
      </c>
      <c r="E690" s="184" t="s">
        <v>19</v>
      </c>
      <c r="F690" s="182">
        <v>45341</v>
      </c>
      <c r="G690" s="186" t="s">
        <v>94</v>
      </c>
      <c r="H690" s="184" t="s">
        <v>322</v>
      </c>
      <c r="T690" s="184" t="s">
        <v>257</v>
      </c>
    </row>
    <row r="691" spans="1:20">
      <c r="A691" s="182">
        <v>45327</v>
      </c>
      <c r="B691" s="183">
        <v>0.42934027777777778</v>
      </c>
      <c r="C691" s="184" t="s">
        <v>73</v>
      </c>
      <c r="D691" s="184" t="s">
        <v>68</v>
      </c>
      <c r="E691" s="184" t="s">
        <v>96</v>
      </c>
      <c r="F691" s="182">
        <v>45363</v>
      </c>
      <c r="G691" s="186" t="s">
        <v>94</v>
      </c>
      <c r="H691" s="184" t="s">
        <v>247</v>
      </c>
      <c r="T691" s="184" t="s">
        <v>181</v>
      </c>
    </row>
    <row r="692" spans="1:20">
      <c r="A692" s="182">
        <v>45327</v>
      </c>
      <c r="B692" s="183">
        <v>0.45828703703703705</v>
      </c>
      <c r="C692" s="184" t="s">
        <v>73</v>
      </c>
      <c r="D692" s="184" t="s">
        <v>68</v>
      </c>
      <c r="E692" s="184" t="s">
        <v>96</v>
      </c>
      <c r="F692" s="182">
        <v>45363</v>
      </c>
      <c r="G692" s="186" t="s">
        <v>94</v>
      </c>
      <c r="H692" s="184" t="s">
        <v>237</v>
      </c>
      <c r="T692" s="184" t="s">
        <v>1215</v>
      </c>
    </row>
    <row r="693" spans="1:20">
      <c r="A693" s="182">
        <v>45327</v>
      </c>
      <c r="B693" s="183">
        <v>0.49603009259259262</v>
      </c>
      <c r="C693" s="184" t="s">
        <v>67</v>
      </c>
      <c r="D693" s="184" t="s">
        <v>91</v>
      </c>
      <c r="E693" s="184" t="s">
        <v>19</v>
      </c>
      <c r="F693" s="182">
        <v>45341</v>
      </c>
      <c r="G693" s="186" t="s">
        <v>99</v>
      </c>
      <c r="H693" s="184" t="s">
        <v>218</v>
      </c>
    </row>
    <row r="694" spans="1:20">
      <c r="A694" s="182">
        <v>45327</v>
      </c>
      <c r="B694" s="183">
        <v>0.49928240740740742</v>
      </c>
      <c r="C694" s="184" t="s">
        <v>67</v>
      </c>
      <c r="D694" s="184" t="s">
        <v>68</v>
      </c>
      <c r="E694" s="184" t="s">
        <v>19</v>
      </c>
      <c r="F694" s="182">
        <v>45341</v>
      </c>
      <c r="G694" s="186" t="s">
        <v>94</v>
      </c>
      <c r="H694" s="184" t="s">
        <v>185</v>
      </c>
      <c r="T694" s="184" t="s">
        <v>1216</v>
      </c>
    </row>
    <row r="695" spans="1:20">
      <c r="A695" s="182">
        <v>45328</v>
      </c>
      <c r="B695" s="183">
        <v>0.60687499999999994</v>
      </c>
      <c r="C695" s="184" t="s">
        <v>67</v>
      </c>
      <c r="D695" s="184" t="s">
        <v>159</v>
      </c>
      <c r="E695" s="184" t="s">
        <v>19</v>
      </c>
      <c r="F695" s="182">
        <v>45341</v>
      </c>
      <c r="G695" s="186" t="s">
        <v>99</v>
      </c>
      <c r="H695" s="184" t="s">
        <v>740</v>
      </c>
    </row>
    <row r="696" spans="1:20">
      <c r="A696" s="182">
        <v>45328</v>
      </c>
      <c r="B696" s="183">
        <v>0.62398148148148147</v>
      </c>
      <c r="C696" s="184" t="s">
        <v>67</v>
      </c>
      <c r="D696" s="184" t="s">
        <v>78</v>
      </c>
      <c r="E696" s="184" t="s">
        <v>96</v>
      </c>
      <c r="F696" s="182">
        <v>45363</v>
      </c>
      <c r="G696" s="186" t="s">
        <v>114</v>
      </c>
      <c r="H696" s="184" t="s">
        <v>265</v>
      </c>
    </row>
    <row r="697" spans="1:20">
      <c r="A697" s="182">
        <v>45328</v>
      </c>
      <c r="B697" s="183">
        <v>0.65649305555555559</v>
      </c>
      <c r="C697" s="184" t="s">
        <v>67</v>
      </c>
      <c r="D697" s="184" t="s">
        <v>68</v>
      </c>
      <c r="E697" s="184" t="s">
        <v>19</v>
      </c>
      <c r="F697" s="182">
        <v>45341</v>
      </c>
      <c r="G697" s="186" t="s">
        <v>94</v>
      </c>
      <c r="H697" s="184" t="s">
        <v>308</v>
      </c>
      <c r="T697" s="184" t="s">
        <v>475</v>
      </c>
    </row>
    <row r="698" spans="1:20">
      <c r="A698" s="182">
        <v>45331</v>
      </c>
      <c r="B698" s="183">
        <v>0.38096064814814817</v>
      </c>
      <c r="C698" s="184" t="s">
        <v>67</v>
      </c>
      <c r="D698" s="184" t="s">
        <v>78</v>
      </c>
      <c r="E698" s="184" t="s">
        <v>1197</v>
      </c>
      <c r="F698" s="182">
        <v>45380</v>
      </c>
      <c r="G698" s="186" t="s">
        <v>114</v>
      </c>
      <c r="H698" s="184" t="s">
        <v>113</v>
      </c>
    </row>
    <row r="699" spans="1:20">
      <c r="A699" s="182">
        <v>45331</v>
      </c>
      <c r="B699" s="183">
        <v>0.58131944444444439</v>
      </c>
      <c r="C699" s="184" t="s">
        <v>73</v>
      </c>
      <c r="D699" s="184" t="s">
        <v>91</v>
      </c>
      <c r="E699" s="184" t="s">
        <v>1185</v>
      </c>
      <c r="F699" s="182">
        <v>45338</v>
      </c>
      <c r="G699" s="186" t="s">
        <v>99</v>
      </c>
      <c r="H699" s="184" t="s">
        <v>326</v>
      </c>
    </row>
    <row r="700" spans="1:20">
      <c r="A700" s="182">
        <v>45331</v>
      </c>
      <c r="B700" s="183">
        <v>0.58458333333333334</v>
      </c>
      <c r="C700" s="184" t="s">
        <v>73</v>
      </c>
      <c r="D700" s="184" t="s">
        <v>68</v>
      </c>
      <c r="E700" s="184" t="s">
        <v>1185</v>
      </c>
      <c r="F700" s="182">
        <v>45338</v>
      </c>
      <c r="G700" s="186" t="s">
        <v>94</v>
      </c>
      <c r="H700" s="184" t="s">
        <v>182</v>
      </c>
      <c r="T700" s="184" t="s">
        <v>933</v>
      </c>
    </row>
    <row r="701" spans="1:20">
      <c r="A701" s="182">
        <v>45341</v>
      </c>
      <c r="B701" s="183">
        <v>0.44325231481481481</v>
      </c>
      <c r="C701" s="184" t="s">
        <v>67</v>
      </c>
      <c r="D701" s="184" t="s">
        <v>78</v>
      </c>
      <c r="E701" s="184" t="s">
        <v>1197</v>
      </c>
      <c r="F701" s="182">
        <v>45353</v>
      </c>
      <c r="G701" s="186" t="s">
        <v>94</v>
      </c>
      <c r="H701" s="184" t="s">
        <v>280</v>
      </c>
    </row>
    <row r="702" spans="1:20">
      <c r="A702" s="182">
        <v>45341</v>
      </c>
      <c r="B702" s="183">
        <v>0.44505787037037042</v>
      </c>
      <c r="C702" s="184" t="s">
        <v>73</v>
      </c>
      <c r="D702" s="184" t="s">
        <v>159</v>
      </c>
      <c r="E702" s="184" t="s">
        <v>96</v>
      </c>
      <c r="F702" s="182">
        <v>45363</v>
      </c>
      <c r="G702" s="186" t="s">
        <v>99</v>
      </c>
      <c r="H702" s="184" t="s">
        <v>228</v>
      </c>
      <c r="I702" s="184" t="s">
        <v>964</v>
      </c>
    </row>
    <row r="703" spans="1:20">
      <c r="A703" s="182">
        <v>45341</v>
      </c>
      <c r="B703" s="183">
        <v>0.44658564814814811</v>
      </c>
      <c r="C703" s="184" t="s">
        <v>73</v>
      </c>
      <c r="D703" s="184" t="s">
        <v>68</v>
      </c>
      <c r="E703" s="184" t="s">
        <v>96</v>
      </c>
      <c r="F703" s="182">
        <v>45363</v>
      </c>
      <c r="G703" s="186" t="s">
        <v>94</v>
      </c>
      <c r="H703" s="184" t="s">
        <v>243</v>
      </c>
      <c r="T703" s="184" t="s">
        <v>1219</v>
      </c>
    </row>
    <row r="704" spans="1:20">
      <c r="A704" s="182">
        <v>45342</v>
      </c>
      <c r="B704" s="183">
        <v>0.58797453703703706</v>
      </c>
      <c r="C704" s="184" t="s">
        <v>67</v>
      </c>
      <c r="D704" s="184" t="s">
        <v>78</v>
      </c>
      <c r="E704" s="184" t="s">
        <v>1220</v>
      </c>
      <c r="F704" s="182">
        <v>45363</v>
      </c>
      <c r="G704" s="186" t="s">
        <v>99</v>
      </c>
      <c r="H704" s="184" t="s">
        <v>113</v>
      </c>
    </row>
    <row r="705" spans="1:20">
      <c r="A705" s="182">
        <v>45342</v>
      </c>
      <c r="B705" s="183">
        <v>0.58824074074074073</v>
      </c>
      <c r="C705" s="184" t="s">
        <v>67</v>
      </c>
      <c r="D705" s="184" t="s">
        <v>78</v>
      </c>
      <c r="E705" s="184" t="s">
        <v>1197</v>
      </c>
      <c r="F705" s="182">
        <v>45353</v>
      </c>
      <c r="G705" s="186" t="s">
        <v>99</v>
      </c>
      <c r="H705" s="184" t="s">
        <v>297</v>
      </c>
    </row>
    <row r="706" spans="1:20">
      <c r="A706" s="182">
        <v>45342</v>
      </c>
      <c r="B706" s="183">
        <v>0.59365740740740736</v>
      </c>
      <c r="C706" s="184" t="s">
        <v>67</v>
      </c>
      <c r="D706" s="184" t="s">
        <v>68</v>
      </c>
      <c r="E706" s="184" t="s">
        <v>1220</v>
      </c>
      <c r="F706" s="182">
        <v>45363</v>
      </c>
      <c r="G706" s="186" t="s">
        <v>94</v>
      </c>
      <c r="H706" s="184" t="s">
        <v>529</v>
      </c>
      <c r="T706" s="184" t="s">
        <v>1228</v>
      </c>
    </row>
    <row r="707" spans="1:20">
      <c r="A707" s="182">
        <v>45342</v>
      </c>
      <c r="B707" s="183">
        <v>0.69608796296296294</v>
      </c>
      <c r="C707" s="184" t="s">
        <v>67</v>
      </c>
      <c r="D707" s="184" t="s">
        <v>78</v>
      </c>
      <c r="E707" s="184" t="s">
        <v>1197</v>
      </c>
      <c r="F707" s="182">
        <v>45380</v>
      </c>
      <c r="G707" s="186" t="s">
        <v>112</v>
      </c>
      <c r="H707" s="184" t="s">
        <v>267</v>
      </c>
    </row>
    <row r="708" spans="1:20">
      <c r="A708" s="182">
        <v>45344</v>
      </c>
      <c r="B708" s="183">
        <v>0.65469907407407413</v>
      </c>
      <c r="C708" s="184" t="s">
        <v>67</v>
      </c>
      <c r="D708" s="184" t="s">
        <v>68</v>
      </c>
      <c r="E708" s="184" t="s">
        <v>1220</v>
      </c>
      <c r="F708" s="182">
        <v>45363</v>
      </c>
      <c r="G708" s="186" t="s">
        <v>99</v>
      </c>
      <c r="H708" s="184" t="s">
        <v>243</v>
      </c>
      <c r="T708" s="184" t="s">
        <v>1229</v>
      </c>
    </row>
    <row r="709" spans="1:20">
      <c r="A709" s="182">
        <v>45348</v>
      </c>
      <c r="B709" s="183">
        <v>0.47423611111111108</v>
      </c>
      <c r="C709" s="184" t="s">
        <v>73</v>
      </c>
      <c r="D709" s="184" t="s">
        <v>68</v>
      </c>
      <c r="E709" s="184" t="s">
        <v>1220</v>
      </c>
      <c r="F709" s="182">
        <v>45363</v>
      </c>
      <c r="G709" s="186" t="s">
        <v>99</v>
      </c>
      <c r="H709" s="184" t="s">
        <v>237</v>
      </c>
      <c r="T709" s="184" t="s">
        <v>1194</v>
      </c>
    </row>
    <row r="710" spans="1:20">
      <c r="A710" s="182">
        <v>45349</v>
      </c>
      <c r="B710" s="183">
        <v>0.41511574074074076</v>
      </c>
      <c r="C710" s="184" t="s">
        <v>67</v>
      </c>
      <c r="D710" s="184" t="s">
        <v>78</v>
      </c>
      <c r="E710" s="184" t="s">
        <v>1197</v>
      </c>
      <c r="F710" s="182">
        <v>45380</v>
      </c>
      <c r="G710" s="186" t="s">
        <v>115</v>
      </c>
      <c r="H710" s="184" t="s">
        <v>265</v>
      </c>
    </row>
    <row r="711" spans="1:20">
      <c r="A711" s="182">
        <v>45349</v>
      </c>
      <c r="B711" s="183">
        <v>0.41561342592592593</v>
      </c>
      <c r="C711" s="184" t="s">
        <v>67</v>
      </c>
      <c r="D711" s="184" t="s">
        <v>78</v>
      </c>
      <c r="E711" s="184" t="s">
        <v>1197</v>
      </c>
      <c r="F711" s="182">
        <v>45353</v>
      </c>
      <c r="G711" s="186" t="s">
        <v>114</v>
      </c>
      <c r="H711" s="184" t="s">
        <v>186</v>
      </c>
    </row>
    <row r="712" spans="1:20">
      <c r="A712" s="182">
        <v>45350</v>
      </c>
      <c r="B712" s="183">
        <v>0.4332523148148148</v>
      </c>
      <c r="C712" s="184" t="s">
        <v>73</v>
      </c>
      <c r="D712" s="184" t="s">
        <v>68</v>
      </c>
      <c r="E712" s="184" t="s">
        <v>1220</v>
      </c>
      <c r="F712" s="182">
        <v>45363</v>
      </c>
      <c r="G712" s="186" t="s">
        <v>94</v>
      </c>
      <c r="H712" s="184" t="s">
        <v>243</v>
      </c>
      <c r="T712" s="184" t="s">
        <v>1232</v>
      </c>
    </row>
    <row r="713" spans="1:20">
      <c r="A713" s="182">
        <v>45350</v>
      </c>
      <c r="B713" s="183">
        <v>0.43920138888888888</v>
      </c>
      <c r="C713" s="184" t="s">
        <v>73</v>
      </c>
      <c r="D713" s="184" t="s">
        <v>68</v>
      </c>
      <c r="E713" s="184" t="s">
        <v>1220</v>
      </c>
      <c r="F713" s="182">
        <v>45363</v>
      </c>
      <c r="G713" s="186" t="s">
        <v>94</v>
      </c>
      <c r="H713" s="184" t="s">
        <v>529</v>
      </c>
      <c r="T713" s="184" t="s">
        <v>1233</v>
      </c>
    </row>
    <row r="714" spans="1:20">
      <c r="A714" s="182">
        <v>45350</v>
      </c>
      <c r="B714" s="183">
        <v>0.60090277777777779</v>
      </c>
      <c r="C714" s="184" t="s">
        <v>67</v>
      </c>
      <c r="D714" s="184" t="s">
        <v>68</v>
      </c>
      <c r="E714" s="184" t="s">
        <v>1220</v>
      </c>
      <c r="F714" s="182">
        <v>45363</v>
      </c>
      <c r="G714" s="186" t="s">
        <v>99</v>
      </c>
      <c r="H714" s="184" t="s">
        <v>243</v>
      </c>
      <c r="T714" s="184" t="s">
        <v>1234</v>
      </c>
    </row>
    <row r="715" spans="1:20">
      <c r="A715" s="182">
        <v>45350</v>
      </c>
      <c r="B715" s="183">
        <v>0.69459490740740737</v>
      </c>
      <c r="C715" s="184" t="s">
        <v>73</v>
      </c>
      <c r="D715" s="184" t="s">
        <v>68</v>
      </c>
      <c r="E715" s="184" t="s">
        <v>1220</v>
      </c>
      <c r="F715" s="182">
        <v>45363</v>
      </c>
      <c r="G715" s="186" t="s">
        <v>94</v>
      </c>
      <c r="H715" s="184" t="s">
        <v>529</v>
      </c>
      <c r="T715" s="184" t="s">
        <v>1236</v>
      </c>
    </row>
    <row r="716" spans="1:20">
      <c r="A716" s="182">
        <v>45351</v>
      </c>
      <c r="B716" s="183">
        <v>0.62945601851851851</v>
      </c>
      <c r="C716" s="184" t="s">
        <v>67</v>
      </c>
      <c r="D716" s="184" t="s">
        <v>68</v>
      </c>
      <c r="E716" s="184" t="s">
        <v>1220</v>
      </c>
      <c r="F716" s="182">
        <v>45363</v>
      </c>
      <c r="G716" s="186" t="s">
        <v>99</v>
      </c>
      <c r="H716" s="184" t="s">
        <v>243</v>
      </c>
      <c r="T716" s="184" t="s">
        <v>424</v>
      </c>
    </row>
    <row r="717" spans="1:20">
      <c r="A717" s="182">
        <v>45351</v>
      </c>
      <c r="B717" s="183">
        <v>0.67636574074074074</v>
      </c>
      <c r="C717" s="184" t="s">
        <v>67</v>
      </c>
      <c r="D717" s="184" t="s">
        <v>91</v>
      </c>
      <c r="E717" s="184" t="s">
        <v>1220</v>
      </c>
      <c r="F717" s="182">
        <v>45363</v>
      </c>
      <c r="G717" s="186" t="s">
        <v>94</v>
      </c>
      <c r="H717" s="184" t="s">
        <v>92</v>
      </c>
    </row>
    <row r="718" spans="1:20">
      <c r="A718" s="182">
        <v>45352</v>
      </c>
      <c r="B718" s="183">
        <v>0.41576388888888888</v>
      </c>
      <c r="C718" s="184" t="s">
        <v>73</v>
      </c>
      <c r="D718" s="184" t="s">
        <v>78</v>
      </c>
      <c r="E718" s="184" t="s">
        <v>1237</v>
      </c>
      <c r="F718" s="182">
        <v>0.41666666666666669</v>
      </c>
      <c r="G718" s="186" t="s">
        <v>99</v>
      </c>
      <c r="H718" s="184" t="s">
        <v>107</v>
      </c>
      <c r="I718" s="182">
        <v>45380</v>
      </c>
    </row>
    <row r="719" spans="1:20">
      <c r="A719" s="182">
        <v>45352</v>
      </c>
      <c r="B719" s="183">
        <v>0.41612268518518519</v>
      </c>
      <c r="C719" s="184" t="s">
        <v>73</v>
      </c>
      <c r="D719" s="184" t="s">
        <v>78</v>
      </c>
      <c r="E719" s="184" t="s">
        <v>1237</v>
      </c>
      <c r="F719" s="182">
        <v>0.66666666666666696</v>
      </c>
      <c r="G719" s="186" t="s">
        <v>70</v>
      </c>
      <c r="H719" s="184" t="s">
        <v>86</v>
      </c>
      <c r="I719" s="182">
        <v>45380</v>
      </c>
    </row>
    <row r="720" spans="1:20">
      <c r="A720" s="182">
        <v>45352</v>
      </c>
      <c r="B720" s="183">
        <v>0.46952546296296299</v>
      </c>
      <c r="C720" s="184" t="s">
        <v>73</v>
      </c>
      <c r="D720" s="184" t="s">
        <v>68</v>
      </c>
      <c r="E720" s="184" t="s">
        <v>1220</v>
      </c>
      <c r="F720" s="182">
        <v>45363</v>
      </c>
      <c r="G720" s="186" t="s">
        <v>99</v>
      </c>
      <c r="H720" s="184" t="s">
        <v>237</v>
      </c>
      <c r="T720" s="184" t="s">
        <v>1238</v>
      </c>
    </row>
    <row r="721" spans="1:20">
      <c r="A721" s="182">
        <v>45355</v>
      </c>
      <c r="B721" s="183">
        <v>0.40061342592592591</v>
      </c>
      <c r="C721" s="184" t="s">
        <v>73</v>
      </c>
      <c r="D721" s="184" t="s">
        <v>78</v>
      </c>
      <c r="E721" s="184" t="s">
        <v>1237</v>
      </c>
      <c r="F721" s="182">
        <v>0.41666666666666669</v>
      </c>
      <c r="G721" s="186" t="s">
        <v>112</v>
      </c>
      <c r="H721" s="184" t="s">
        <v>265</v>
      </c>
      <c r="I721" s="182">
        <v>45380</v>
      </c>
    </row>
    <row r="722" spans="1:20">
      <c r="A722" s="182">
        <v>45355</v>
      </c>
      <c r="B722" s="183">
        <v>0.40074074074074079</v>
      </c>
      <c r="C722" s="184" t="s">
        <v>73</v>
      </c>
      <c r="D722" s="184" t="s">
        <v>78</v>
      </c>
      <c r="E722" s="184" t="s">
        <v>1237</v>
      </c>
      <c r="F722" s="182">
        <v>0.45833333333333331</v>
      </c>
      <c r="G722" s="186" t="s">
        <v>75</v>
      </c>
      <c r="H722" s="184" t="s">
        <v>107</v>
      </c>
      <c r="I722" s="182">
        <v>45380</v>
      </c>
    </row>
    <row r="723" spans="1:20">
      <c r="A723" s="182">
        <v>45355</v>
      </c>
      <c r="B723" s="183">
        <v>0.50741898148148146</v>
      </c>
      <c r="C723" s="184" t="s">
        <v>73</v>
      </c>
      <c r="D723" s="184" t="s">
        <v>68</v>
      </c>
      <c r="E723" s="184" t="s">
        <v>1220</v>
      </c>
      <c r="F723" s="182">
        <v>45363</v>
      </c>
      <c r="G723" s="186" t="s">
        <v>94</v>
      </c>
      <c r="H723" s="184" t="s">
        <v>243</v>
      </c>
      <c r="T723" s="184" t="s">
        <v>1241</v>
      </c>
    </row>
    <row r="724" spans="1:20">
      <c r="A724" s="182">
        <v>45355</v>
      </c>
      <c r="B724" s="183">
        <v>0.56549768518518517</v>
      </c>
      <c r="C724" s="184" t="s">
        <v>73</v>
      </c>
      <c r="D724" s="184" t="s">
        <v>78</v>
      </c>
      <c r="E724" s="184" t="s">
        <v>1184</v>
      </c>
      <c r="F724" s="182">
        <v>45380</v>
      </c>
      <c r="G724" s="186" t="s">
        <v>115</v>
      </c>
      <c r="I724" s="184" t="s">
        <v>1242</v>
      </c>
    </row>
    <row r="725" spans="1:20">
      <c r="A725" s="182">
        <v>45355</v>
      </c>
      <c r="B725" s="183">
        <v>0.56564814814814812</v>
      </c>
      <c r="C725" s="184" t="s">
        <v>73</v>
      </c>
      <c r="D725" s="184" t="s">
        <v>78</v>
      </c>
      <c r="E725" s="184" t="s">
        <v>1184</v>
      </c>
      <c r="F725" s="182">
        <v>45380</v>
      </c>
      <c r="G725" s="186" t="s">
        <v>75</v>
      </c>
      <c r="I725" s="184" t="s">
        <v>1243</v>
      </c>
    </row>
    <row r="726" spans="1:20">
      <c r="A726" s="182">
        <v>45358</v>
      </c>
      <c r="B726" s="183">
        <v>0.458125</v>
      </c>
      <c r="C726" s="184" t="s">
        <v>67</v>
      </c>
      <c r="D726" s="184" t="s">
        <v>68</v>
      </c>
      <c r="E726" s="184" t="s">
        <v>1197</v>
      </c>
      <c r="F726" s="182">
        <v>45380</v>
      </c>
      <c r="G726" s="186" t="s">
        <v>75</v>
      </c>
      <c r="H726" s="184" t="s">
        <v>76</v>
      </c>
      <c r="T726" s="184" t="s">
        <v>1244</v>
      </c>
    </row>
    <row r="727" spans="1:20">
      <c r="A727" s="182">
        <v>45358</v>
      </c>
      <c r="B727" s="183">
        <v>0.45844907407407409</v>
      </c>
      <c r="C727" s="184" t="s">
        <v>67</v>
      </c>
      <c r="D727" s="184" t="s">
        <v>68</v>
      </c>
      <c r="E727" s="184" t="s">
        <v>1184</v>
      </c>
      <c r="F727" s="182">
        <v>45380</v>
      </c>
      <c r="G727" s="186" t="s">
        <v>75</v>
      </c>
      <c r="I727" s="184" t="s">
        <v>1242</v>
      </c>
      <c r="T727" s="184" t="s">
        <v>1244</v>
      </c>
    </row>
    <row r="728" spans="1:20">
      <c r="A728" s="182">
        <v>45363</v>
      </c>
      <c r="B728" s="183">
        <v>0.44425925925925924</v>
      </c>
      <c r="C728" s="184" t="s">
        <v>67</v>
      </c>
      <c r="D728" s="184" t="s">
        <v>68</v>
      </c>
      <c r="E728" s="184" t="s">
        <v>1220</v>
      </c>
      <c r="F728" s="182">
        <v>45363</v>
      </c>
      <c r="G728" s="186" t="s">
        <v>99</v>
      </c>
      <c r="H728" s="184" t="s">
        <v>237</v>
      </c>
      <c r="T728" s="184" t="s">
        <v>1248</v>
      </c>
    </row>
    <row r="729" spans="1:20">
      <c r="A729" s="182">
        <v>45365</v>
      </c>
      <c r="B729" s="183">
        <v>0.54385416666666664</v>
      </c>
      <c r="C729" s="184" t="s">
        <v>67</v>
      </c>
      <c r="D729" s="184" t="s">
        <v>78</v>
      </c>
      <c r="E729" s="184" t="s">
        <v>1184</v>
      </c>
      <c r="F729" s="182">
        <v>45380</v>
      </c>
      <c r="G729" s="186" t="s">
        <v>70</v>
      </c>
      <c r="I729" s="184" t="s">
        <v>1242</v>
      </c>
    </row>
    <row r="730" spans="1:20">
      <c r="A730" s="182">
        <v>45365</v>
      </c>
      <c r="B730" s="183">
        <v>0.54711805555555559</v>
      </c>
      <c r="C730" s="184" t="s">
        <v>67</v>
      </c>
      <c r="D730" s="184" t="s">
        <v>78</v>
      </c>
      <c r="E730" s="184" t="s">
        <v>1197</v>
      </c>
      <c r="F730" s="182">
        <v>45380</v>
      </c>
      <c r="G730" s="186" t="s">
        <v>264</v>
      </c>
      <c r="H730" s="184" t="s">
        <v>98</v>
      </c>
      <c r="I730" s="184" t="s">
        <v>1249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9CAB1-99D9-4BDE-8C7E-58A0CF885F6F}">
  <sheetPr codeName="Sheet16">
    <pageSetUpPr fitToPage="1"/>
  </sheetPr>
  <dimension ref="A1:AF90"/>
  <sheetViews>
    <sheetView showGridLines="0" tabSelected="1" zoomScale="70" zoomScaleNormal="70" workbookViewId="0">
      <pane xSplit="9" ySplit="4" topLeftCell="J17" activePane="bottomRight" state="frozen"/>
      <selection activeCell="J34" sqref="J34:L34"/>
      <selection pane="topRight" activeCell="J34" sqref="J34:L34"/>
      <selection pane="bottomLeft" activeCell="J34" sqref="J34:L34"/>
      <selection pane="bottomRight" activeCell="E82" sqref="E82:E89"/>
    </sheetView>
  </sheetViews>
  <sheetFormatPr defaultColWidth="8.25" defaultRowHeight="14"/>
  <cols>
    <col min="1" max="1" width="3.33203125" style="2" customWidth="1"/>
    <col min="2" max="2" width="21.75" style="2" customWidth="1"/>
    <col min="3" max="3" width="10.08203125" style="2" hidden="1" customWidth="1"/>
    <col min="4" max="4" width="10" style="2" bestFit="1" customWidth="1"/>
    <col min="5" max="5" width="6.08203125" style="2" bestFit="1" customWidth="1"/>
    <col min="6" max="6" width="5" style="2" bestFit="1" customWidth="1"/>
    <col min="7" max="7" width="8.25" style="2"/>
    <col min="8" max="8" width="1.5" style="2" customWidth="1"/>
    <col min="9" max="9" width="8.25" style="2"/>
    <col min="10" max="24" width="4.08203125" style="2" customWidth="1"/>
    <col min="25" max="25" width="11.58203125" style="2" customWidth="1"/>
    <col min="26" max="26" width="16.58203125" style="2" customWidth="1"/>
    <col min="27" max="27" width="1" style="2" customWidth="1"/>
    <col min="28" max="28" width="21.75" style="2" bestFit="1" customWidth="1"/>
    <col min="29" max="29" width="23.08203125" style="3" bestFit="1" customWidth="1"/>
    <col min="30" max="30" width="33.5" style="3" bestFit="1" customWidth="1"/>
    <col min="31" max="31" width="8.25" style="2"/>
    <col min="32" max="32" width="9.25" style="2" bestFit="1" customWidth="1"/>
    <col min="33" max="16384" width="8.25" style="2"/>
  </cols>
  <sheetData>
    <row r="1" spans="2:30" ht="19">
      <c r="B1" s="1" t="s">
        <v>0</v>
      </c>
      <c r="C1" s="1"/>
    </row>
    <row r="2" spans="2:30" ht="20.25" customHeight="1" thickBot="1">
      <c r="B2" s="4" t="s">
        <v>1187</v>
      </c>
      <c r="C2" s="4"/>
      <c r="F2" s="5" t="s">
        <v>2</v>
      </c>
    </row>
    <row r="3" spans="2:30" ht="19.5" customHeight="1">
      <c r="B3" s="6"/>
      <c r="C3" s="7"/>
      <c r="D3" s="8"/>
      <c r="E3" s="9" t="s">
        <v>3</v>
      </c>
      <c r="F3" s="10" t="s">
        <v>4</v>
      </c>
      <c r="G3" s="317" t="s">
        <v>5</v>
      </c>
      <c r="H3" s="12"/>
      <c r="I3" s="13" t="s">
        <v>6</v>
      </c>
      <c r="J3" s="341" t="s">
        <v>7</v>
      </c>
      <c r="K3" s="342"/>
      <c r="L3" s="343"/>
      <c r="M3" s="341" t="s">
        <v>8</v>
      </c>
      <c r="N3" s="342"/>
      <c r="O3" s="344"/>
      <c r="P3" s="341" t="s">
        <v>9</v>
      </c>
      <c r="Q3" s="342"/>
      <c r="R3" s="343"/>
      <c r="S3" s="341" t="s">
        <v>1186</v>
      </c>
      <c r="T3" s="342"/>
      <c r="U3" s="343"/>
      <c r="V3" s="341" t="s">
        <v>10</v>
      </c>
      <c r="W3" s="342"/>
      <c r="X3" s="343"/>
      <c r="Y3" s="14" t="s">
        <v>11</v>
      </c>
      <c r="Z3" s="14" t="s">
        <v>12</v>
      </c>
      <c r="AB3" s="15" t="s">
        <v>13</v>
      </c>
      <c r="AC3" s="16"/>
      <c r="AD3" s="16"/>
    </row>
    <row r="4" spans="2:30" ht="19.5" hidden="1" customHeight="1">
      <c r="B4" s="6"/>
      <c r="C4" s="7"/>
      <c r="D4" s="8"/>
      <c r="E4" s="17"/>
      <c r="F4" s="18"/>
      <c r="G4" s="19"/>
      <c r="H4" s="12"/>
      <c r="I4" s="20"/>
      <c r="J4" s="21" t="str">
        <f>J3</f>
        <v>飯塚</v>
      </c>
      <c r="K4" s="22" t="str">
        <f>J3</f>
        <v>飯塚</v>
      </c>
      <c r="L4" s="23" t="str">
        <f>J3</f>
        <v>飯塚</v>
      </c>
      <c r="M4" s="21" t="str">
        <f>M3</f>
        <v>田川</v>
      </c>
      <c r="N4" s="22" t="str">
        <f>M3</f>
        <v>田川</v>
      </c>
      <c r="O4" s="24" t="str">
        <f>M3</f>
        <v>田川</v>
      </c>
      <c r="P4" s="21" t="str">
        <f>P3</f>
        <v>直鞍</v>
      </c>
      <c r="Q4" s="22" t="str">
        <f>P3</f>
        <v>直鞍</v>
      </c>
      <c r="R4" s="23" t="str">
        <f>P3</f>
        <v>直鞍</v>
      </c>
      <c r="S4" s="21" t="str">
        <f>S3</f>
        <v>若松</v>
      </c>
      <c r="T4" s="22" t="str">
        <f>S3</f>
        <v>若松</v>
      </c>
      <c r="U4" s="23" t="str">
        <f>S3</f>
        <v>若松</v>
      </c>
      <c r="V4" s="21" t="str">
        <f>V3</f>
        <v>連合会</v>
      </c>
      <c r="W4" s="22" t="str">
        <f>V3</f>
        <v>連合会</v>
      </c>
      <c r="X4" s="23" t="str">
        <f>V3</f>
        <v>連合会</v>
      </c>
      <c r="Y4" s="23"/>
      <c r="Z4" s="23"/>
      <c r="AB4" s="25"/>
      <c r="AC4" s="26"/>
      <c r="AD4" s="27"/>
    </row>
    <row r="5" spans="2:30" ht="19.5" customHeight="1">
      <c r="B5" s="28"/>
      <c r="C5" s="29"/>
      <c r="D5" s="30"/>
      <c r="E5" s="31"/>
      <c r="F5" s="32"/>
      <c r="G5" s="33"/>
      <c r="H5" s="34"/>
      <c r="I5" s="35"/>
      <c r="J5" s="36" t="s">
        <v>14</v>
      </c>
      <c r="K5" s="444" t="s">
        <v>16</v>
      </c>
      <c r="L5" s="445"/>
      <c r="M5" s="36" t="s">
        <v>14</v>
      </c>
      <c r="N5" s="444" t="s">
        <v>16</v>
      </c>
      <c r="O5" s="445"/>
      <c r="P5" s="36" t="s">
        <v>14</v>
      </c>
      <c r="Q5" s="444" t="s">
        <v>16</v>
      </c>
      <c r="R5" s="445"/>
      <c r="S5" s="36" t="s">
        <v>14</v>
      </c>
      <c r="T5" s="444" t="s">
        <v>16</v>
      </c>
      <c r="U5" s="445"/>
      <c r="V5" s="36" t="s">
        <v>14</v>
      </c>
      <c r="W5" s="444" t="s">
        <v>16</v>
      </c>
      <c r="X5" s="445"/>
      <c r="Y5" s="38"/>
      <c r="Z5" s="38"/>
      <c r="AB5" s="39"/>
      <c r="AC5" s="36" t="s">
        <v>17</v>
      </c>
      <c r="AD5" s="37" t="s">
        <v>18</v>
      </c>
    </row>
    <row r="6" spans="2:30" ht="19.5" customHeight="1">
      <c r="B6" s="345" t="s">
        <v>19</v>
      </c>
      <c r="C6" s="54" t="s">
        <v>1222</v>
      </c>
      <c r="D6" s="41">
        <v>45461</v>
      </c>
      <c r="E6" s="42" t="s">
        <v>684</v>
      </c>
      <c r="F6" s="43">
        <v>60</v>
      </c>
      <c r="G6" s="44">
        <f t="shared" ref="G6:G12" si="0">F6-I6</f>
        <v>48</v>
      </c>
      <c r="H6" s="45"/>
      <c r="I6" s="46">
        <f t="shared" ref="I6:I11" si="1">SUM(J6:X6)</f>
        <v>12</v>
      </c>
      <c r="J6" s="47">
        <v>1</v>
      </c>
      <c r="K6" s="443">
        <v>1</v>
      </c>
      <c r="L6" s="352"/>
      <c r="M6" s="47"/>
      <c r="N6" s="443">
        <v>1</v>
      </c>
      <c r="O6" s="352"/>
      <c r="P6" s="47"/>
      <c r="Q6" s="443">
        <f>1+1+1+2+1+3</f>
        <v>9</v>
      </c>
      <c r="R6" s="352"/>
      <c r="S6" s="47"/>
      <c r="T6" s="443"/>
      <c r="U6" s="352"/>
      <c r="V6" s="47"/>
      <c r="W6" s="443"/>
      <c r="X6" s="352"/>
      <c r="Y6" s="50">
        <v>45378</v>
      </c>
      <c r="Z6" s="50"/>
      <c r="AB6" s="51"/>
      <c r="AC6" s="62" t="s">
        <v>762</v>
      </c>
      <c r="AD6" s="52" t="s">
        <v>725</v>
      </c>
    </row>
    <row r="7" spans="2:30" ht="19.5" customHeight="1">
      <c r="B7" s="339"/>
      <c r="C7" s="54" t="s">
        <v>1222</v>
      </c>
      <c r="D7" s="55">
        <v>45596</v>
      </c>
      <c r="E7" s="42" t="s">
        <v>685</v>
      </c>
      <c r="F7" s="56">
        <v>30</v>
      </c>
      <c r="G7" s="44">
        <f t="shared" si="0"/>
        <v>27</v>
      </c>
      <c r="H7" s="45"/>
      <c r="I7" s="57">
        <f t="shared" si="1"/>
        <v>3</v>
      </c>
      <c r="J7" s="58"/>
      <c r="K7" s="443"/>
      <c r="L7" s="352"/>
      <c r="M7" s="58"/>
      <c r="N7" s="443"/>
      <c r="O7" s="352"/>
      <c r="P7" s="58"/>
      <c r="Q7" s="443">
        <f>1+2</f>
        <v>3</v>
      </c>
      <c r="R7" s="352"/>
      <c r="S7" s="58"/>
      <c r="T7" s="443"/>
      <c r="U7" s="352"/>
      <c r="V7" s="58"/>
      <c r="W7" s="443"/>
      <c r="X7" s="352"/>
      <c r="Y7" s="61">
        <v>45357</v>
      </c>
      <c r="Z7" s="61"/>
      <c r="AB7" s="51"/>
      <c r="AC7" s="52" t="s">
        <v>985</v>
      </c>
      <c r="AD7" s="52"/>
    </row>
    <row r="8" spans="2:30" ht="19.5" customHeight="1">
      <c r="B8" s="339"/>
      <c r="C8" s="54" t="s">
        <v>1222</v>
      </c>
      <c r="D8" s="41">
        <v>45708</v>
      </c>
      <c r="E8" s="42" t="s">
        <v>684</v>
      </c>
      <c r="F8" s="56">
        <v>30</v>
      </c>
      <c r="G8" s="44">
        <f t="shared" si="0"/>
        <v>29</v>
      </c>
      <c r="H8" s="45"/>
      <c r="I8" s="46">
        <f t="shared" si="1"/>
        <v>1</v>
      </c>
      <c r="J8" s="47"/>
      <c r="K8" s="443"/>
      <c r="L8" s="352"/>
      <c r="M8" s="47"/>
      <c r="N8" s="443"/>
      <c r="O8" s="352"/>
      <c r="P8" s="47"/>
      <c r="Q8" s="443">
        <v>1</v>
      </c>
      <c r="R8" s="352"/>
      <c r="S8" s="47"/>
      <c r="T8" s="443"/>
      <c r="U8" s="352"/>
      <c r="V8" s="47"/>
      <c r="W8" s="443"/>
      <c r="X8" s="352"/>
      <c r="Y8" s="50">
        <v>45336</v>
      </c>
      <c r="Z8" s="50"/>
      <c r="AB8" s="51"/>
      <c r="AC8" s="62" t="s">
        <v>762</v>
      </c>
      <c r="AD8" s="52" t="s">
        <v>725</v>
      </c>
    </row>
    <row r="9" spans="2:30" ht="19.5" hidden="1" customHeight="1">
      <c r="B9" s="339"/>
      <c r="C9" s="54" t="str">
        <f>B6</f>
        <v>玉掛</v>
      </c>
      <c r="D9" s="41"/>
      <c r="E9" s="42" t="s">
        <v>684</v>
      </c>
      <c r="F9" s="56">
        <v>20</v>
      </c>
      <c r="G9" s="44">
        <f t="shared" si="0"/>
        <v>20</v>
      </c>
      <c r="H9" s="45"/>
      <c r="I9" s="46">
        <f t="shared" si="1"/>
        <v>0</v>
      </c>
      <c r="J9" s="47"/>
      <c r="K9" s="48"/>
      <c r="L9" s="49"/>
      <c r="M9" s="47"/>
      <c r="N9" s="48"/>
      <c r="O9" s="49"/>
      <c r="P9" s="47"/>
      <c r="Q9" s="48"/>
      <c r="R9" s="49"/>
      <c r="S9" s="47"/>
      <c r="T9" s="48"/>
      <c r="U9" s="49"/>
      <c r="V9" s="47"/>
      <c r="W9" s="48"/>
      <c r="X9" s="49"/>
      <c r="Y9" s="50"/>
      <c r="Z9" s="50"/>
      <c r="AB9" s="51"/>
      <c r="AC9" s="62" t="s">
        <v>987</v>
      </c>
      <c r="AD9" s="52" t="s">
        <v>688</v>
      </c>
    </row>
    <row r="10" spans="2:30" ht="20.25" hidden="1" customHeight="1">
      <c r="B10" s="339"/>
      <c r="C10" s="54" t="str">
        <f>B6</f>
        <v>玉掛</v>
      </c>
      <c r="D10" s="41"/>
      <c r="E10" s="42" t="s">
        <v>684</v>
      </c>
      <c r="F10" s="56">
        <v>30</v>
      </c>
      <c r="G10" s="44">
        <f t="shared" si="0"/>
        <v>30</v>
      </c>
      <c r="H10" s="45"/>
      <c r="I10" s="46">
        <f t="shared" si="1"/>
        <v>0</v>
      </c>
      <c r="J10" s="47"/>
      <c r="K10" s="48"/>
      <c r="L10" s="49"/>
      <c r="M10" s="47"/>
      <c r="N10" s="48"/>
      <c r="O10" s="49"/>
      <c r="P10" s="47"/>
      <c r="Q10" s="48"/>
      <c r="R10" s="49"/>
      <c r="S10" s="47"/>
      <c r="T10" s="48"/>
      <c r="U10" s="49"/>
      <c r="V10" s="47"/>
      <c r="W10" s="48"/>
      <c r="X10" s="49"/>
      <c r="Y10" s="50"/>
      <c r="Z10" s="50"/>
      <c r="AB10" s="51"/>
      <c r="AC10" s="52" t="s">
        <v>762</v>
      </c>
      <c r="AD10" s="52" t="s">
        <v>725</v>
      </c>
    </row>
    <row r="11" spans="2:30" hidden="1">
      <c r="B11" s="339"/>
      <c r="C11" s="54" t="str">
        <f>B6</f>
        <v>玉掛</v>
      </c>
      <c r="D11" s="41"/>
      <c r="E11" s="42"/>
      <c r="F11" s="56"/>
      <c r="G11" s="44">
        <f t="shared" si="0"/>
        <v>0</v>
      </c>
      <c r="H11" s="45"/>
      <c r="I11" s="46">
        <f t="shared" si="1"/>
        <v>0</v>
      </c>
      <c r="J11" s="47"/>
      <c r="K11" s="48"/>
      <c r="L11" s="49"/>
      <c r="M11" s="47"/>
      <c r="N11" s="48"/>
      <c r="O11" s="49"/>
      <c r="P11" s="47"/>
      <c r="Q11" s="48"/>
      <c r="R11" s="49"/>
      <c r="S11" s="47"/>
      <c r="T11" s="48"/>
      <c r="U11" s="49"/>
      <c r="V11" s="47"/>
      <c r="W11" s="48"/>
      <c r="X11" s="49"/>
      <c r="Y11" s="50"/>
      <c r="Z11" s="50"/>
      <c r="AB11" s="51"/>
      <c r="AC11" s="52"/>
      <c r="AD11" s="53"/>
    </row>
    <row r="12" spans="2:30" ht="18.649999999999999" hidden="1" customHeight="1">
      <c r="B12" s="340"/>
      <c r="C12" s="54" t="str">
        <f>B6</f>
        <v>玉掛</v>
      </c>
      <c r="D12" s="63"/>
      <c r="E12" s="64"/>
      <c r="F12" s="65"/>
      <c r="G12" s="66">
        <f t="shared" si="0"/>
        <v>0</v>
      </c>
      <c r="H12" s="45"/>
      <c r="I12" s="67"/>
      <c r="J12" s="68"/>
      <c r="K12" s="69"/>
      <c r="L12" s="70"/>
      <c r="M12" s="68"/>
      <c r="N12" s="69"/>
      <c r="O12" s="70"/>
      <c r="P12" s="68"/>
      <c r="Q12" s="69"/>
      <c r="R12" s="70"/>
      <c r="S12" s="68"/>
      <c r="T12" s="69"/>
      <c r="U12" s="70"/>
      <c r="V12" s="68"/>
      <c r="W12" s="69"/>
      <c r="X12" s="70"/>
      <c r="Y12" s="71"/>
      <c r="Z12" s="71"/>
      <c r="AB12" s="72"/>
      <c r="AC12" s="62"/>
      <c r="AD12" s="73"/>
    </row>
    <row r="13" spans="2:30" ht="19" customHeight="1">
      <c r="B13" s="36"/>
      <c r="C13" s="74"/>
      <c r="D13" s="75"/>
      <c r="E13" s="140"/>
      <c r="F13" s="141"/>
      <c r="G13" s="318" t="str">
        <f>G3</f>
        <v>受講可能</v>
      </c>
      <c r="H13" s="78"/>
      <c r="I13" s="79" t="str">
        <f>I3</f>
        <v>合計</v>
      </c>
      <c r="J13" s="28" t="s">
        <v>27</v>
      </c>
      <c r="K13" s="76" t="s">
        <v>28</v>
      </c>
      <c r="L13" s="80" t="s">
        <v>29</v>
      </c>
      <c r="M13" s="28" t="s">
        <v>27</v>
      </c>
      <c r="N13" s="76" t="s">
        <v>28</v>
      </c>
      <c r="O13" s="80" t="s">
        <v>29</v>
      </c>
      <c r="P13" s="28" t="s">
        <v>27</v>
      </c>
      <c r="Q13" s="76" t="s">
        <v>28</v>
      </c>
      <c r="R13" s="80" t="s">
        <v>29</v>
      </c>
      <c r="S13" s="28" t="s">
        <v>27</v>
      </c>
      <c r="T13" s="76" t="s">
        <v>28</v>
      </c>
      <c r="U13" s="80" t="s">
        <v>29</v>
      </c>
      <c r="V13" s="28" t="s">
        <v>27</v>
      </c>
      <c r="W13" s="76" t="s">
        <v>28</v>
      </c>
      <c r="X13" s="80" t="s">
        <v>29</v>
      </c>
      <c r="Y13" s="314" t="str">
        <f>Y3</f>
        <v>更新日時</v>
      </c>
      <c r="Z13" s="314" t="str">
        <f>Z3</f>
        <v>キャンセル待ち</v>
      </c>
      <c r="AB13" s="82" t="s">
        <v>30</v>
      </c>
      <c r="AC13" s="36" t="s">
        <v>31</v>
      </c>
      <c r="AD13" s="37" t="s">
        <v>18</v>
      </c>
    </row>
    <row r="14" spans="2:30" ht="19.5" customHeight="1">
      <c r="B14" s="339" t="s">
        <v>32</v>
      </c>
      <c r="C14" s="54" t="s">
        <v>1220</v>
      </c>
      <c r="D14" s="41">
        <v>45444</v>
      </c>
      <c r="E14" s="42" t="s">
        <v>686</v>
      </c>
      <c r="F14" s="43">
        <v>20</v>
      </c>
      <c r="G14" s="83">
        <f t="shared" ref="G14:G20" si="2">F14-I14</f>
        <v>0</v>
      </c>
      <c r="H14" s="45"/>
      <c r="I14" s="57">
        <f t="shared" ref="I14:I20" si="3">SUM(J14:X14)</f>
        <v>20</v>
      </c>
      <c r="J14" s="58"/>
      <c r="K14" s="56">
        <f>1+1-1-1+1+2+1</f>
        <v>4</v>
      </c>
      <c r="L14" s="60"/>
      <c r="M14" s="58"/>
      <c r="N14" s="48">
        <f>2+2+2+1+9</f>
        <v>16</v>
      </c>
      <c r="O14" s="49"/>
      <c r="P14" s="58"/>
      <c r="Q14" s="56"/>
      <c r="R14" s="60"/>
      <c r="S14" s="58"/>
      <c r="T14" s="56"/>
      <c r="U14" s="49"/>
      <c r="V14" s="58"/>
      <c r="W14" s="56"/>
      <c r="X14" s="49"/>
      <c r="Y14" s="61">
        <v>45378</v>
      </c>
      <c r="Z14" s="61"/>
      <c r="AB14" s="47"/>
      <c r="AC14" s="47" t="s">
        <v>687</v>
      </c>
      <c r="AD14" s="47" t="s">
        <v>687</v>
      </c>
    </row>
    <row r="15" spans="2:30" ht="19.5" customHeight="1">
      <c r="B15" s="339"/>
      <c r="C15" s="54" t="s">
        <v>1220</v>
      </c>
      <c r="D15" s="55">
        <v>45481</v>
      </c>
      <c r="E15" s="42" t="s">
        <v>684</v>
      </c>
      <c r="F15" s="43">
        <v>40</v>
      </c>
      <c r="G15" s="44">
        <f t="shared" si="2"/>
        <v>23</v>
      </c>
      <c r="H15" s="45"/>
      <c r="I15" s="46">
        <f t="shared" si="3"/>
        <v>17</v>
      </c>
      <c r="J15" s="47"/>
      <c r="K15" s="43">
        <f>1+1+1</f>
        <v>3</v>
      </c>
      <c r="L15" s="49">
        <f>1+1+2</f>
        <v>4</v>
      </c>
      <c r="M15" s="47"/>
      <c r="N15" s="48"/>
      <c r="O15" s="49">
        <f>1+1</f>
        <v>2</v>
      </c>
      <c r="P15" s="47"/>
      <c r="Q15" s="43">
        <f>1+4+1</f>
        <v>6</v>
      </c>
      <c r="R15" s="49"/>
      <c r="S15" s="47"/>
      <c r="T15" s="85"/>
      <c r="U15" s="49"/>
      <c r="V15" s="47"/>
      <c r="W15" s="85">
        <f>1+1</f>
        <v>2</v>
      </c>
      <c r="X15" s="49"/>
      <c r="Y15" s="50">
        <v>45380</v>
      </c>
      <c r="Z15" s="50"/>
      <c r="AB15" s="52" t="s">
        <v>762</v>
      </c>
      <c r="AC15" s="52" t="s">
        <v>762</v>
      </c>
      <c r="AD15" s="52" t="s">
        <v>725</v>
      </c>
    </row>
    <row r="16" spans="2:30" ht="19.5" customHeight="1">
      <c r="B16" s="339"/>
      <c r="C16" s="54" t="s">
        <v>1220</v>
      </c>
      <c r="D16" s="41">
        <v>45601</v>
      </c>
      <c r="E16" s="42" t="s">
        <v>685</v>
      </c>
      <c r="F16" s="43">
        <v>30</v>
      </c>
      <c r="G16" s="44">
        <v>40</v>
      </c>
      <c r="H16" s="45"/>
      <c r="I16" s="46">
        <f t="shared" si="3"/>
        <v>0</v>
      </c>
      <c r="J16" s="47"/>
      <c r="K16" s="43"/>
      <c r="L16" s="49"/>
      <c r="M16" s="47"/>
      <c r="N16" s="48"/>
      <c r="O16" s="303"/>
      <c r="P16" s="47"/>
      <c r="Q16" s="43"/>
      <c r="R16" s="49"/>
      <c r="S16" s="47"/>
      <c r="T16" s="85"/>
      <c r="U16" s="49"/>
      <c r="V16" s="47"/>
      <c r="W16" s="85"/>
      <c r="X16" s="49"/>
      <c r="Y16" s="50"/>
      <c r="Z16" s="50"/>
      <c r="AB16" s="51"/>
      <c r="AC16" s="52" t="s">
        <v>985</v>
      </c>
      <c r="AD16" s="52"/>
    </row>
    <row r="17" spans="2:32" ht="19.5" customHeight="1">
      <c r="B17" s="339"/>
      <c r="C17" s="54" t="s">
        <v>1220</v>
      </c>
      <c r="D17" s="41">
        <v>45726</v>
      </c>
      <c r="E17" s="42" t="s">
        <v>684</v>
      </c>
      <c r="F17" s="43">
        <v>40</v>
      </c>
      <c r="G17" s="44">
        <f t="shared" si="2"/>
        <v>40</v>
      </c>
      <c r="H17" s="45"/>
      <c r="I17" s="46">
        <f t="shared" si="3"/>
        <v>0</v>
      </c>
      <c r="J17" s="47"/>
      <c r="K17" s="43"/>
      <c r="L17" s="49"/>
      <c r="M17" s="47"/>
      <c r="N17" s="48"/>
      <c r="O17" s="49"/>
      <c r="P17" s="47"/>
      <c r="Q17" s="43"/>
      <c r="R17" s="49"/>
      <c r="S17" s="47"/>
      <c r="T17" s="85"/>
      <c r="U17" s="49"/>
      <c r="V17" s="47"/>
      <c r="W17" s="85"/>
      <c r="X17" s="49"/>
      <c r="Y17" s="50"/>
      <c r="Z17" s="50"/>
      <c r="AB17" s="84"/>
      <c r="AC17" s="52" t="s">
        <v>762</v>
      </c>
      <c r="AD17" s="52" t="s">
        <v>725</v>
      </c>
      <c r="AF17" s="250"/>
    </row>
    <row r="18" spans="2:32" hidden="1">
      <c r="B18" s="339"/>
      <c r="C18" s="54" t="str">
        <f>B14</f>
        <v>フォーク</v>
      </c>
      <c r="D18" s="41"/>
      <c r="E18" s="42" t="s">
        <v>684</v>
      </c>
      <c r="F18" s="43">
        <v>40</v>
      </c>
      <c r="G18" s="44">
        <f t="shared" si="2"/>
        <v>40</v>
      </c>
      <c r="H18" s="45"/>
      <c r="I18" s="46">
        <f t="shared" si="3"/>
        <v>0</v>
      </c>
      <c r="J18" s="68"/>
      <c r="K18" s="65"/>
      <c r="L18" s="70"/>
      <c r="M18" s="68"/>
      <c r="N18" s="48"/>
      <c r="O18" s="49"/>
      <c r="P18" s="68"/>
      <c r="Q18" s="65"/>
      <c r="R18" s="70"/>
      <c r="S18" s="68"/>
      <c r="T18" s="86"/>
      <c r="U18" s="70"/>
      <c r="V18" s="68"/>
      <c r="W18" s="86"/>
      <c r="X18" s="70"/>
      <c r="Y18" s="71"/>
      <c r="Z18" s="71"/>
      <c r="AB18" s="87"/>
      <c r="AC18" s="52" t="s">
        <v>762</v>
      </c>
      <c r="AD18" s="52" t="s">
        <v>725</v>
      </c>
    </row>
    <row r="19" spans="2:32" hidden="1">
      <c r="B19" s="339"/>
      <c r="C19" s="54" t="str">
        <f>B14</f>
        <v>フォーク</v>
      </c>
      <c r="D19" s="63"/>
      <c r="E19" s="42"/>
      <c r="F19" s="43">
        <v>40</v>
      </c>
      <c r="G19" s="44">
        <f t="shared" si="2"/>
        <v>40</v>
      </c>
      <c r="H19" s="45"/>
      <c r="I19" s="46">
        <f t="shared" si="3"/>
        <v>0</v>
      </c>
      <c r="J19" s="68"/>
      <c r="K19" s="65"/>
      <c r="L19" s="70"/>
      <c r="M19" s="68"/>
      <c r="N19" s="65"/>
      <c r="O19" s="70"/>
      <c r="P19" s="68"/>
      <c r="Q19" s="65"/>
      <c r="R19" s="70"/>
      <c r="S19" s="68"/>
      <c r="T19" s="86"/>
      <c r="U19" s="70"/>
      <c r="V19" s="68"/>
      <c r="W19" s="86"/>
      <c r="X19" s="70"/>
      <c r="Y19" s="71"/>
      <c r="Z19" s="71"/>
      <c r="AB19" s="87"/>
      <c r="AC19" s="62"/>
      <c r="AD19" s="53"/>
    </row>
    <row r="20" spans="2:32" hidden="1">
      <c r="B20" s="340"/>
      <c r="C20" s="88" t="str">
        <f>B14</f>
        <v>フォーク</v>
      </c>
      <c r="D20" s="89"/>
      <c r="E20" s="90"/>
      <c r="F20" s="65"/>
      <c r="G20" s="91">
        <f t="shared" si="2"/>
        <v>0</v>
      </c>
      <c r="H20" s="92"/>
      <c r="I20" s="93">
        <f t="shared" si="3"/>
        <v>0</v>
      </c>
      <c r="J20" s="94"/>
      <c r="K20" s="95"/>
      <c r="L20" s="96"/>
      <c r="M20" s="94"/>
      <c r="N20" s="95"/>
      <c r="O20" s="96"/>
      <c r="P20" s="94"/>
      <c r="Q20" s="95"/>
      <c r="R20" s="96"/>
      <c r="S20" s="94"/>
      <c r="T20" s="97"/>
      <c r="U20" s="96"/>
      <c r="V20" s="94"/>
      <c r="W20" s="97"/>
      <c r="X20" s="96"/>
      <c r="Y20" s="98"/>
      <c r="Z20" s="98"/>
      <c r="AB20" s="72"/>
      <c r="AC20" s="62"/>
      <c r="AD20" s="53"/>
    </row>
    <row r="21" spans="2:32" hidden="1">
      <c r="B21" s="99"/>
      <c r="C21" s="100"/>
      <c r="D21" s="101"/>
      <c r="E21" s="307"/>
      <c r="F21" s="311"/>
      <c r="G21" s="104"/>
      <c r="H21" s="105"/>
      <c r="I21" s="106"/>
      <c r="J21" s="107" t="s">
        <v>15</v>
      </c>
      <c r="K21" s="108" t="s">
        <v>34</v>
      </c>
      <c r="L21" s="109"/>
      <c r="M21" s="107" t="s">
        <v>15</v>
      </c>
      <c r="N21" s="108" t="s">
        <v>34</v>
      </c>
      <c r="O21" s="109"/>
      <c r="P21" s="107" t="s">
        <v>15</v>
      </c>
      <c r="Q21" s="108" t="s">
        <v>34</v>
      </c>
      <c r="R21" s="109"/>
      <c r="S21" s="107" t="s">
        <v>15</v>
      </c>
      <c r="T21" s="108" t="s">
        <v>34</v>
      </c>
      <c r="U21" s="109"/>
      <c r="V21" s="107" t="s">
        <v>15</v>
      </c>
      <c r="W21" s="108" t="s">
        <v>34</v>
      </c>
      <c r="X21" s="109"/>
      <c r="Y21" s="110"/>
      <c r="Z21" s="110"/>
      <c r="AB21" s="111"/>
      <c r="AC21" s="36" t="s">
        <v>17</v>
      </c>
      <c r="AD21" s="37" t="s">
        <v>18</v>
      </c>
    </row>
    <row r="22" spans="2:32" hidden="1">
      <c r="B22" s="339" t="s">
        <v>35</v>
      </c>
      <c r="C22" s="54" t="str">
        <f>B22</f>
        <v>小移動</v>
      </c>
      <c r="D22" s="55"/>
      <c r="E22" s="42" t="s">
        <v>684</v>
      </c>
      <c r="F22" s="56">
        <v>20</v>
      </c>
      <c r="G22" s="83">
        <f>F22-I22</f>
        <v>20</v>
      </c>
      <c r="H22" s="45"/>
      <c r="I22" s="57">
        <f>SUM(J22:X22)</f>
        <v>0</v>
      </c>
      <c r="J22" s="58"/>
      <c r="K22" s="59"/>
      <c r="L22" s="60"/>
      <c r="M22" s="58"/>
      <c r="N22" s="59"/>
      <c r="O22" s="60"/>
      <c r="P22" s="58"/>
      <c r="Q22" s="59"/>
      <c r="R22" s="60"/>
      <c r="S22" s="58"/>
      <c r="T22" s="59"/>
      <c r="U22" s="60"/>
      <c r="V22" s="58"/>
      <c r="W22" s="59"/>
      <c r="X22" s="60"/>
      <c r="Y22" s="61"/>
      <c r="Z22" s="61"/>
      <c r="AB22" s="51"/>
      <c r="AC22" s="52" t="s">
        <v>986</v>
      </c>
      <c r="AD22" s="52" t="s">
        <v>725</v>
      </c>
    </row>
    <row r="23" spans="2:32" hidden="1">
      <c r="B23" s="339"/>
      <c r="C23" s="54" t="str">
        <f>B22</f>
        <v>小移動</v>
      </c>
      <c r="D23" s="41"/>
      <c r="E23" s="42"/>
      <c r="F23" s="56"/>
      <c r="G23" s="44"/>
      <c r="H23" s="113"/>
      <c r="I23" s="57">
        <f>SUM(J23:X23)</f>
        <v>0</v>
      </c>
      <c r="J23" s="47"/>
      <c r="K23" s="48"/>
      <c r="L23" s="114"/>
      <c r="M23" s="47"/>
      <c r="N23" s="48"/>
      <c r="O23" s="49"/>
      <c r="P23" s="47"/>
      <c r="Q23" s="48"/>
      <c r="R23" s="49"/>
      <c r="S23" s="47"/>
      <c r="T23" s="48"/>
      <c r="U23" s="49"/>
      <c r="V23" s="47"/>
      <c r="W23" s="48"/>
      <c r="X23" s="49"/>
      <c r="Y23" s="50"/>
      <c r="Z23" s="50"/>
      <c r="AB23" s="51"/>
      <c r="AC23" s="52"/>
      <c r="AD23" s="52"/>
    </row>
    <row r="24" spans="2:32" hidden="1">
      <c r="B24" s="339"/>
      <c r="C24" s="54" t="str">
        <f>B22</f>
        <v>小移動</v>
      </c>
      <c r="D24" s="63"/>
      <c r="E24" s="42"/>
      <c r="F24" s="56"/>
      <c r="G24" s="44">
        <f>F24-I24</f>
        <v>0</v>
      </c>
      <c r="H24" s="113"/>
      <c r="I24" s="57"/>
      <c r="J24" s="68"/>
      <c r="K24" s="65"/>
      <c r="L24" s="70"/>
      <c r="M24" s="68"/>
      <c r="N24" s="69"/>
      <c r="O24" s="70"/>
      <c r="P24" s="68"/>
      <c r="Q24" s="69"/>
      <c r="R24" s="70"/>
      <c r="S24" s="68"/>
      <c r="T24" s="69"/>
      <c r="U24" s="70"/>
      <c r="V24" s="68"/>
      <c r="W24" s="69"/>
      <c r="X24" s="70"/>
      <c r="Y24" s="71"/>
      <c r="Z24" s="71"/>
      <c r="AB24" s="115"/>
      <c r="AC24" s="62"/>
      <c r="AD24" s="53"/>
    </row>
    <row r="25" spans="2:32" hidden="1">
      <c r="B25" s="340"/>
      <c r="C25" s="88" t="str">
        <f>B22</f>
        <v>小移動</v>
      </c>
      <c r="D25" s="89"/>
      <c r="E25" s="90"/>
      <c r="F25" s="95"/>
      <c r="G25" s="91">
        <f>F25-I25</f>
        <v>0</v>
      </c>
      <c r="H25" s="116"/>
      <c r="I25" s="57"/>
      <c r="J25" s="94"/>
      <c r="K25" s="117"/>
      <c r="L25" s="96"/>
      <c r="M25" s="94"/>
      <c r="N25" s="117"/>
      <c r="O25" s="96"/>
      <c r="P25" s="94"/>
      <c r="Q25" s="117"/>
      <c r="R25" s="96"/>
      <c r="S25" s="94"/>
      <c r="T25" s="117"/>
      <c r="U25" s="96"/>
      <c r="V25" s="94"/>
      <c r="W25" s="117"/>
      <c r="X25" s="96"/>
      <c r="Y25" s="98"/>
      <c r="Z25" s="98"/>
      <c r="AB25" s="46"/>
      <c r="AC25" s="118"/>
      <c r="AD25" s="119"/>
    </row>
    <row r="26" spans="2:32">
      <c r="B26" s="120"/>
      <c r="C26" s="121"/>
      <c r="D26" s="122"/>
      <c r="E26" s="307"/>
      <c r="F26" s="312"/>
      <c r="G26" s="316" t="s">
        <v>37</v>
      </c>
      <c r="H26" s="12"/>
      <c r="I26" s="125" t="s">
        <v>6</v>
      </c>
      <c r="J26" s="341" t="str">
        <f>J3</f>
        <v>飯塚</v>
      </c>
      <c r="K26" s="342"/>
      <c r="L26" s="343"/>
      <c r="M26" s="341" t="str">
        <f t="shared" ref="M26" si="4">M3</f>
        <v>田川</v>
      </c>
      <c r="N26" s="342"/>
      <c r="O26" s="343"/>
      <c r="P26" s="341" t="str">
        <f t="shared" ref="P26" si="5">P3</f>
        <v>直鞍</v>
      </c>
      <c r="Q26" s="342"/>
      <c r="R26" s="343"/>
      <c r="S26" s="341"/>
      <c r="T26" s="342"/>
      <c r="U26" s="343"/>
      <c r="V26" s="341"/>
      <c r="W26" s="342"/>
      <c r="X26" s="343"/>
      <c r="Y26" s="14" t="str">
        <f>Y3</f>
        <v>更新日時</v>
      </c>
      <c r="Z26" s="14" t="str">
        <f>Z3</f>
        <v>キャンセル待ち</v>
      </c>
      <c r="AB26" s="126"/>
      <c r="AC26" s="36" t="s">
        <v>17</v>
      </c>
      <c r="AD26" s="37" t="s">
        <v>18</v>
      </c>
    </row>
    <row r="27" spans="2:32" ht="19.5" hidden="1" customHeight="1">
      <c r="B27" s="28"/>
      <c r="C27" s="29"/>
      <c r="D27" s="75"/>
      <c r="E27" s="140"/>
      <c r="F27" s="313"/>
      <c r="G27" s="129"/>
      <c r="H27" s="12"/>
      <c r="I27" s="35"/>
      <c r="J27" s="36"/>
      <c r="K27" s="31"/>
      <c r="L27" s="37"/>
      <c r="M27" s="36"/>
      <c r="N27" s="31"/>
      <c r="O27" s="37"/>
      <c r="P27" s="36"/>
      <c r="Q27" s="31"/>
      <c r="R27" s="37"/>
      <c r="S27" s="36"/>
      <c r="T27" s="31"/>
      <c r="U27" s="37"/>
      <c r="V27" s="36"/>
      <c r="W27" s="31"/>
      <c r="X27" s="37"/>
      <c r="Y27" s="35"/>
      <c r="Z27" s="35"/>
      <c r="AB27" s="111"/>
      <c r="AC27" s="36" t="s">
        <v>17</v>
      </c>
      <c r="AD27" s="37" t="s">
        <v>18</v>
      </c>
    </row>
    <row r="28" spans="2:32" ht="19.5" hidden="1" customHeight="1">
      <c r="B28" s="339" t="s">
        <v>41</v>
      </c>
      <c r="C28" s="54" t="str">
        <f>B28</f>
        <v>高所</v>
      </c>
      <c r="D28" s="55"/>
      <c r="E28" s="42"/>
      <c r="F28" s="56">
        <v>10</v>
      </c>
      <c r="G28" s="83">
        <f t="shared" ref="G28:G56" si="6">F28-I28</f>
        <v>10</v>
      </c>
      <c r="H28" s="45"/>
      <c r="I28" s="57">
        <f>SUM(J28:X28)</f>
        <v>0</v>
      </c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61"/>
      <c r="Z28" s="61"/>
      <c r="AB28" s="51"/>
      <c r="AC28" s="52"/>
      <c r="AD28" s="53"/>
    </row>
    <row r="29" spans="2:32" ht="19.5" hidden="1" customHeight="1">
      <c r="B29" s="339"/>
      <c r="C29" s="54" t="str">
        <f>B28</f>
        <v>高所</v>
      </c>
      <c r="D29" s="55"/>
      <c r="E29" s="42"/>
      <c r="F29" s="56">
        <v>10</v>
      </c>
      <c r="G29" s="83">
        <f t="shared" si="6"/>
        <v>10</v>
      </c>
      <c r="H29" s="45"/>
      <c r="I29" s="57">
        <f>SUM(J29:X29)</f>
        <v>0</v>
      </c>
      <c r="J29" s="47"/>
      <c r="K29" s="48"/>
      <c r="L29" s="130"/>
      <c r="M29" s="47"/>
      <c r="N29" s="48"/>
      <c r="O29" s="130"/>
      <c r="P29" s="47"/>
      <c r="Q29" s="48"/>
      <c r="R29" s="130"/>
      <c r="S29" s="47"/>
      <c r="T29" s="48"/>
      <c r="U29" s="130"/>
      <c r="V29" s="47"/>
      <c r="W29" s="48"/>
      <c r="X29" s="130"/>
      <c r="Y29" s="50"/>
      <c r="Z29" s="50"/>
      <c r="AB29" s="51"/>
      <c r="AC29" s="154"/>
      <c r="AD29" s="53"/>
    </row>
    <row r="30" spans="2:32" ht="19.5" hidden="1" customHeight="1">
      <c r="B30" s="340"/>
      <c r="C30" s="88" t="str">
        <f>B28</f>
        <v>高所</v>
      </c>
      <c r="D30" s="131"/>
      <c r="E30" s="132"/>
      <c r="F30" s="133"/>
      <c r="G30" s="134">
        <f t="shared" si="6"/>
        <v>0</v>
      </c>
      <c r="H30" s="45"/>
      <c r="I30" s="135"/>
      <c r="J30" s="94"/>
      <c r="K30" s="117"/>
      <c r="L30" s="136"/>
      <c r="M30" s="94"/>
      <c r="N30" s="117"/>
      <c r="O30" s="136"/>
      <c r="P30" s="94"/>
      <c r="Q30" s="117"/>
      <c r="R30" s="136"/>
      <c r="S30" s="94"/>
      <c r="T30" s="117"/>
      <c r="U30" s="136"/>
      <c r="V30" s="94"/>
      <c r="W30" s="117"/>
      <c r="X30" s="136"/>
      <c r="Y30" s="98"/>
      <c r="Z30" s="98"/>
      <c r="AB30" s="72"/>
      <c r="AC30" s="258"/>
      <c r="AD30" s="73"/>
    </row>
    <row r="31" spans="2:32" ht="19.5" customHeight="1">
      <c r="B31" s="366" t="s">
        <v>42</v>
      </c>
      <c r="C31" s="138" t="s">
        <v>43</v>
      </c>
      <c r="D31" s="139">
        <v>45402</v>
      </c>
      <c r="E31" s="140" t="s">
        <v>685</v>
      </c>
      <c r="F31" s="141">
        <v>30</v>
      </c>
      <c r="G31" s="142">
        <f t="shared" si="6"/>
        <v>23</v>
      </c>
      <c r="H31" s="45"/>
      <c r="I31" s="143">
        <f t="shared" ref="I31:I37" si="7">SUM(J31:X31)</f>
        <v>7</v>
      </c>
      <c r="J31" s="386">
        <f>1+1</f>
        <v>2</v>
      </c>
      <c r="K31" s="387"/>
      <c r="L31" s="388"/>
      <c r="M31" s="386"/>
      <c r="N31" s="387"/>
      <c r="O31" s="389"/>
      <c r="P31" s="386">
        <f>2+1+2</f>
        <v>5</v>
      </c>
      <c r="Q31" s="387"/>
      <c r="R31" s="388"/>
      <c r="S31" s="386"/>
      <c r="T31" s="387"/>
      <c r="U31" s="388"/>
      <c r="V31" s="386"/>
      <c r="W31" s="387"/>
      <c r="X31" s="388"/>
      <c r="Y31" s="144">
        <v>45378</v>
      </c>
      <c r="Z31" s="144"/>
      <c r="AA31" s="144"/>
      <c r="AB31" s="145"/>
      <c r="AC31" s="52" t="s">
        <v>769</v>
      </c>
      <c r="AD31" s="147" t="s">
        <v>727</v>
      </c>
    </row>
    <row r="32" spans="2:32" ht="19.5" customHeight="1">
      <c r="B32" s="339"/>
      <c r="C32" s="148" t="s">
        <v>45</v>
      </c>
      <c r="D32" s="41">
        <v>45471</v>
      </c>
      <c r="E32" s="42" t="s">
        <v>684</v>
      </c>
      <c r="F32" s="56">
        <v>40</v>
      </c>
      <c r="G32" s="83">
        <f t="shared" si="6"/>
        <v>35</v>
      </c>
      <c r="H32" s="45"/>
      <c r="I32" s="57">
        <f t="shared" si="7"/>
        <v>5</v>
      </c>
      <c r="J32" s="346">
        <v>1</v>
      </c>
      <c r="K32" s="347"/>
      <c r="L32" s="348"/>
      <c r="M32" s="346">
        <v>1</v>
      </c>
      <c r="N32" s="347"/>
      <c r="O32" s="348"/>
      <c r="P32" s="346">
        <f>3</f>
        <v>3</v>
      </c>
      <c r="Q32" s="347"/>
      <c r="R32" s="348"/>
      <c r="S32" s="346"/>
      <c r="T32" s="347"/>
      <c r="U32" s="348"/>
      <c r="V32" s="346"/>
      <c r="W32" s="347"/>
      <c r="X32" s="348"/>
      <c r="Y32" s="50">
        <v>45378</v>
      </c>
      <c r="Z32" s="50"/>
      <c r="AB32" s="51"/>
      <c r="AC32" s="52" t="s">
        <v>762</v>
      </c>
      <c r="AD32" s="149" t="s">
        <v>728</v>
      </c>
    </row>
    <row r="33" spans="1:30" ht="19.5" customHeight="1">
      <c r="B33" s="339"/>
      <c r="C33" s="148" t="s">
        <v>45</v>
      </c>
      <c r="D33" s="41">
        <v>45556</v>
      </c>
      <c r="E33" s="42" t="s">
        <v>685</v>
      </c>
      <c r="F33" s="56">
        <v>30</v>
      </c>
      <c r="G33" s="83">
        <f t="shared" si="6"/>
        <v>28</v>
      </c>
      <c r="H33" s="45"/>
      <c r="I33" s="57">
        <f t="shared" si="7"/>
        <v>2</v>
      </c>
      <c r="J33" s="346"/>
      <c r="K33" s="347"/>
      <c r="L33" s="348"/>
      <c r="M33" s="346"/>
      <c r="N33" s="347"/>
      <c r="O33" s="348"/>
      <c r="P33" s="346">
        <v>2</v>
      </c>
      <c r="Q33" s="347"/>
      <c r="R33" s="348"/>
      <c r="S33" s="346"/>
      <c r="T33" s="347"/>
      <c r="U33" s="348"/>
      <c r="V33" s="346"/>
      <c r="W33" s="347"/>
      <c r="X33" s="348"/>
      <c r="Y33" s="50">
        <v>45357</v>
      </c>
      <c r="Z33" s="302"/>
      <c r="AB33" s="51"/>
      <c r="AC33" s="52" t="s">
        <v>769</v>
      </c>
      <c r="AD33" s="150" t="s">
        <v>727</v>
      </c>
    </row>
    <row r="34" spans="1:30" ht="19.5" customHeight="1">
      <c r="B34" s="339"/>
      <c r="C34" s="148" t="s">
        <v>45</v>
      </c>
      <c r="D34" s="63">
        <v>45604</v>
      </c>
      <c r="E34" s="42" t="s">
        <v>684</v>
      </c>
      <c r="F34" s="56">
        <v>40</v>
      </c>
      <c r="G34" s="83">
        <f t="shared" si="6"/>
        <v>39</v>
      </c>
      <c r="H34" s="45"/>
      <c r="I34" s="57">
        <f t="shared" si="7"/>
        <v>1</v>
      </c>
      <c r="J34" s="350">
        <v>1</v>
      </c>
      <c r="K34" s="351"/>
      <c r="L34" s="348"/>
      <c r="M34" s="346"/>
      <c r="N34" s="347"/>
      <c r="O34" s="352"/>
      <c r="P34" s="353"/>
      <c r="Q34" s="354"/>
      <c r="R34" s="355"/>
      <c r="S34" s="115"/>
      <c r="T34" s="86"/>
      <c r="U34" s="151"/>
      <c r="V34" s="115"/>
      <c r="W34" s="86"/>
      <c r="X34" s="151"/>
      <c r="Y34" s="71">
        <v>45379</v>
      </c>
      <c r="Z34" s="71"/>
      <c r="AB34" s="115"/>
      <c r="AC34" s="52" t="s">
        <v>762</v>
      </c>
      <c r="AD34" s="149" t="s">
        <v>728</v>
      </c>
    </row>
    <row r="35" spans="1:30" ht="19.5" customHeight="1">
      <c r="B35" s="340"/>
      <c r="C35" s="152" t="s">
        <v>45</v>
      </c>
      <c r="D35" s="89">
        <v>45696</v>
      </c>
      <c r="E35" s="90" t="s">
        <v>685</v>
      </c>
      <c r="F35" s="133">
        <v>30</v>
      </c>
      <c r="G35" s="134">
        <f t="shared" si="6"/>
        <v>30</v>
      </c>
      <c r="H35" s="92"/>
      <c r="I35" s="135">
        <f t="shared" si="7"/>
        <v>0</v>
      </c>
      <c r="J35" s="356"/>
      <c r="K35" s="357"/>
      <c r="L35" s="358"/>
      <c r="M35" s="356"/>
      <c r="N35" s="357"/>
      <c r="O35" s="358"/>
      <c r="P35" s="356"/>
      <c r="Q35" s="357"/>
      <c r="R35" s="358"/>
      <c r="S35" s="356"/>
      <c r="T35" s="357"/>
      <c r="U35" s="358"/>
      <c r="V35" s="356"/>
      <c r="W35" s="357"/>
      <c r="X35" s="358"/>
      <c r="Y35" s="98"/>
      <c r="Z35" s="98"/>
      <c r="AA35" s="153"/>
      <c r="AB35" s="72"/>
      <c r="AC35" s="154" t="s">
        <v>769</v>
      </c>
      <c r="AD35" s="155" t="s">
        <v>727</v>
      </c>
    </row>
    <row r="36" spans="1:30" ht="19.5" customHeight="1">
      <c r="B36" s="349" t="s">
        <v>47</v>
      </c>
      <c r="C36" s="54" t="s">
        <v>1224</v>
      </c>
      <c r="D36" s="55">
        <v>45492</v>
      </c>
      <c r="E36" s="112" t="s">
        <v>684</v>
      </c>
      <c r="F36" s="56">
        <v>30</v>
      </c>
      <c r="G36" s="83">
        <f t="shared" si="6"/>
        <v>25</v>
      </c>
      <c r="H36" s="45"/>
      <c r="I36" s="57">
        <f t="shared" si="7"/>
        <v>5</v>
      </c>
      <c r="J36" s="359">
        <v>1</v>
      </c>
      <c r="K36" s="360"/>
      <c r="L36" s="361"/>
      <c r="M36" s="359">
        <f>1+1</f>
        <v>2</v>
      </c>
      <c r="N36" s="360"/>
      <c r="O36" s="362"/>
      <c r="P36" s="359">
        <f>1+1</f>
        <v>2</v>
      </c>
      <c r="Q36" s="360"/>
      <c r="R36" s="361"/>
      <c r="S36" s="359"/>
      <c r="T36" s="360"/>
      <c r="U36" s="361"/>
      <c r="V36" s="359"/>
      <c r="W36" s="360"/>
      <c r="X36" s="361"/>
      <c r="Y36" s="61">
        <v>45380</v>
      </c>
      <c r="Z36" s="61"/>
      <c r="AB36" s="156"/>
      <c r="AC36" s="157" t="s">
        <v>1209</v>
      </c>
      <c r="AD36" s="158" t="s">
        <v>765</v>
      </c>
    </row>
    <row r="37" spans="1:30" ht="19.5" customHeight="1">
      <c r="B37" s="340"/>
      <c r="C37" s="88" t="s">
        <v>1224</v>
      </c>
      <c r="D37" s="89">
        <v>45618</v>
      </c>
      <c r="E37" s="42" t="s">
        <v>684</v>
      </c>
      <c r="F37" s="95">
        <v>30</v>
      </c>
      <c r="G37" s="83">
        <f t="shared" si="6"/>
        <v>30</v>
      </c>
      <c r="H37" s="45"/>
      <c r="I37" s="159">
        <f t="shared" si="7"/>
        <v>0</v>
      </c>
      <c r="J37" s="437"/>
      <c r="K37" s="438"/>
      <c r="L37" s="439"/>
      <c r="M37" s="363"/>
      <c r="N37" s="364"/>
      <c r="O37" s="371"/>
      <c r="P37" s="363"/>
      <c r="Q37" s="364"/>
      <c r="R37" s="365"/>
      <c r="S37" s="363"/>
      <c r="T37" s="364"/>
      <c r="U37" s="365"/>
      <c r="V37" s="363"/>
      <c r="W37" s="364"/>
      <c r="X37" s="365"/>
      <c r="Y37" s="71"/>
      <c r="Z37" s="71"/>
      <c r="AB37" s="72"/>
      <c r="AC37" s="62" t="s">
        <v>1208</v>
      </c>
      <c r="AD37" s="53" t="s">
        <v>988</v>
      </c>
    </row>
    <row r="38" spans="1:30" ht="19.5" customHeight="1">
      <c r="B38" s="160"/>
      <c r="C38" s="7"/>
      <c r="D38" s="161"/>
      <c r="E38" s="307"/>
      <c r="F38" s="312"/>
      <c r="G38" s="316" t="s">
        <v>5</v>
      </c>
      <c r="H38" s="162"/>
      <c r="I38" s="125" t="s">
        <v>6</v>
      </c>
      <c r="J38" s="341" t="str">
        <f>J3</f>
        <v>飯塚</v>
      </c>
      <c r="K38" s="342"/>
      <c r="L38" s="343"/>
      <c r="M38" s="341" t="str">
        <f t="shared" ref="M38" si="8">M3</f>
        <v>田川</v>
      </c>
      <c r="N38" s="342"/>
      <c r="O38" s="343"/>
      <c r="P38" s="341" t="str">
        <f t="shared" ref="P38" si="9">P3</f>
        <v>直鞍</v>
      </c>
      <c r="Q38" s="342"/>
      <c r="R38" s="343"/>
      <c r="S38" s="341"/>
      <c r="T38" s="342"/>
      <c r="U38" s="343"/>
      <c r="V38" s="341"/>
      <c r="W38" s="342"/>
      <c r="X38" s="343"/>
      <c r="Y38" s="163" t="str">
        <f>Y3</f>
        <v>更新日時</v>
      </c>
      <c r="Z38" s="163" t="str">
        <f>Z3</f>
        <v>キャンセル待ち</v>
      </c>
      <c r="AA38" s="153"/>
      <c r="AB38" s="164" t="s">
        <v>13</v>
      </c>
      <c r="AC38" s="165"/>
      <c r="AD38" s="165"/>
    </row>
    <row r="39" spans="1:30" ht="19" customHeight="1">
      <c r="B39" s="349" t="s">
        <v>49</v>
      </c>
      <c r="C39" s="54" t="s">
        <v>859</v>
      </c>
      <c r="D39" s="139">
        <v>45401</v>
      </c>
      <c r="E39" s="112" t="s">
        <v>684</v>
      </c>
      <c r="F39" s="166">
        <v>40</v>
      </c>
      <c r="G39" s="83">
        <f t="shared" ref="G39:G48" si="10">F39-I39</f>
        <v>36</v>
      </c>
      <c r="H39" s="3"/>
      <c r="I39" s="156">
        <f t="shared" ref="I39:I56" si="11">SUM(J39:X39)</f>
        <v>4</v>
      </c>
      <c r="J39" s="390">
        <f>1+1</f>
        <v>2</v>
      </c>
      <c r="K39" s="390"/>
      <c r="L39" s="390"/>
      <c r="M39" s="390"/>
      <c r="N39" s="390"/>
      <c r="O39" s="391"/>
      <c r="P39" s="390">
        <f>1+1</f>
        <v>2</v>
      </c>
      <c r="Q39" s="390"/>
      <c r="R39" s="390"/>
      <c r="S39" s="390"/>
      <c r="T39" s="390"/>
      <c r="U39" s="390"/>
      <c r="V39" s="390"/>
      <c r="W39" s="390"/>
      <c r="X39" s="390"/>
      <c r="Y39" s="167">
        <v>45376</v>
      </c>
      <c r="Z39" s="167"/>
      <c r="AB39" s="156"/>
      <c r="AC39" s="62" t="s">
        <v>987</v>
      </c>
      <c r="AD39" s="259"/>
    </row>
    <row r="40" spans="1:30" ht="19.5" customHeight="1">
      <c r="B40" s="339"/>
      <c r="C40" s="54" t="s">
        <v>859</v>
      </c>
      <c r="D40" s="55">
        <v>45481</v>
      </c>
      <c r="E40" s="42" t="s">
        <v>686</v>
      </c>
      <c r="F40" s="166">
        <v>40</v>
      </c>
      <c r="G40" s="83">
        <f t="shared" si="10"/>
        <v>40</v>
      </c>
      <c r="H40" s="3"/>
      <c r="I40" s="51">
        <f t="shared" si="11"/>
        <v>0</v>
      </c>
      <c r="J40" s="346"/>
      <c r="K40" s="347"/>
      <c r="L40" s="352"/>
      <c r="M40" s="346"/>
      <c r="N40" s="347"/>
      <c r="O40" s="352"/>
      <c r="P40" s="346"/>
      <c r="Q40" s="347"/>
      <c r="R40" s="352"/>
      <c r="S40" s="346"/>
      <c r="T40" s="347"/>
      <c r="U40" s="352"/>
      <c r="V40" s="346"/>
      <c r="W40" s="347"/>
      <c r="X40" s="352"/>
      <c r="Y40" s="167"/>
      <c r="Z40" s="167"/>
      <c r="AB40" s="156"/>
      <c r="AC40" s="62" t="s">
        <v>768</v>
      </c>
      <c r="AD40" s="260"/>
    </row>
    <row r="41" spans="1:30" ht="18" customHeight="1">
      <c r="B41" s="339"/>
      <c r="C41" s="54" t="s">
        <v>859</v>
      </c>
      <c r="D41" s="251">
        <v>45587</v>
      </c>
      <c r="E41" s="42" t="s">
        <v>685</v>
      </c>
      <c r="F41" s="169">
        <v>40</v>
      </c>
      <c r="G41" s="83">
        <f t="shared" si="10"/>
        <v>40</v>
      </c>
      <c r="H41" s="3"/>
      <c r="I41" s="51">
        <f t="shared" si="11"/>
        <v>0</v>
      </c>
      <c r="J41" s="376"/>
      <c r="K41" s="376"/>
      <c r="L41" s="376"/>
      <c r="M41" s="376"/>
      <c r="N41" s="376"/>
      <c r="O41" s="377"/>
      <c r="P41" s="376"/>
      <c r="Q41" s="376"/>
      <c r="R41" s="376"/>
      <c r="S41" s="376"/>
      <c r="T41" s="376"/>
      <c r="U41" s="376"/>
      <c r="V41" s="376"/>
      <c r="W41" s="376"/>
      <c r="X41" s="376"/>
      <c r="Y41" s="170"/>
      <c r="Z41" s="170"/>
      <c r="AB41" s="51"/>
      <c r="AC41" s="62" t="s">
        <v>987</v>
      </c>
      <c r="AD41" s="261"/>
    </row>
    <row r="42" spans="1:30" ht="19.5" customHeight="1">
      <c r="B42" s="339"/>
      <c r="C42" s="54" t="s">
        <v>859</v>
      </c>
      <c r="D42" s="41"/>
      <c r="E42" s="42"/>
      <c r="F42" s="169">
        <v>40</v>
      </c>
      <c r="G42" s="83">
        <f t="shared" si="10"/>
        <v>40</v>
      </c>
      <c r="H42" s="3"/>
      <c r="I42" s="51">
        <f t="shared" si="11"/>
        <v>0</v>
      </c>
      <c r="J42" s="376"/>
      <c r="K42" s="376"/>
      <c r="L42" s="376"/>
      <c r="M42" s="376"/>
      <c r="N42" s="376"/>
      <c r="O42" s="377"/>
      <c r="P42" s="376"/>
      <c r="Q42" s="376"/>
      <c r="R42" s="376"/>
      <c r="S42" s="376"/>
      <c r="T42" s="376"/>
      <c r="U42" s="376"/>
      <c r="V42" s="376"/>
      <c r="W42" s="376"/>
      <c r="X42" s="376"/>
      <c r="Y42" s="170"/>
      <c r="Z42" s="170"/>
      <c r="AB42" s="51"/>
      <c r="AC42" s="154" t="s">
        <v>769</v>
      </c>
      <c r="AD42" s="261"/>
    </row>
    <row r="43" spans="1:30" ht="18" hidden="1" customHeight="1">
      <c r="B43" s="339"/>
      <c r="C43" s="54" t="str">
        <f>B39</f>
        <v>ﾌﾙ･ﾊｰﾈｽ</v>
      </c>
      <c r="D43" s="251"/>
      <c r="E43" s="42" t="s">
        <v>684</v>
      </c>
      <c r="F43" s="169">
        <v>33</v>
      </c>
      <c r="G43" s="83">
        <f t="shared" si="10"/>
        <v>33</v>
      </c>
      <c r="H43" s="3"/>
      <c r="I43" s="51">
        <f t="shared" si="11"/>
        <v>0</v>
      </c>
      <c r="J43" s="376"/>
      <c r="K43" s="376"/>
      <c r="L43" s="376"/>
      <c r="M43" s="376"/>
      <c r="N43" s="376"/>
      <c r="O43" s="377"/>
      <c r="P43" s="376"/>
      <c r="Q43" s="376"/>
      <c r="R43" s="376"/>
      <c r="S43" s="376"/>
      <c r="T43" s="376"/>
      <c r="U43" s="376"/>
      <c r="V43" s="376"/>
      <c r="W43" s="376"/>
      <c r="X43" s="376"/>
      <c r="Y43" s="170"/>
      <c r="Z43" s="170"/>
      <c r="AB43" s="51"/>
      <c r="AC43" s="52"/>
      <c r="AD43" s="261"/>
    </row>
    <row r="44" spans="1:30" ht="19.5" hidden="1" customHeight="1">
      <c r="A44" s="2" t="s">
        <v>51</v>
      </c>
      <c r="B44" s="339"/>
      <c r="C44" s="54" t="str">
        <f>B39</f>
        <v>ﾌﾙ･ﾊｰﾈｽ</v>
      </c>
      <c r="D44" s="41"/>
      <c r="E44" s="42" t="s">
        <v>684</v>
      </c>
      <c r="F44" s="56">
        <v>40</v>
      </c>
      <c r="G44" s="83">
        <f t="shared" si="10"/>
        <v>40</v>
      </c>
      <c r="H44" s="3"/>
      <c r="I44" s="51">
        <f t="shared" si="11"/>
        <v>0</v>
      </c>
      <c r="J44" s="376"/>
      <c r="K44" s="376"/>
      <c r="L44" s="376"/>
      <c r="M44" s="376"/>
      <c r="N44" s="376"/>
      <c r="O44" s="377"/>
      <c r="P44" s="376"/>
      <c r="Q44" s="376"/>
      <c r="R44" s="376"/>
      <c r="S44" s="376"/>
      <c r="T44" s="376"/>
      <c r="U44" s="376"/>
      <c r="V44" s="376"/>
      <c r="W44" s="376"/>
      <c r="X44" s="376"/>
      <c r="Y44" s="170"/>
      <c r="Z44" s="170"/>
      <c r="AB44" s="51"/>
      <c r="AC44" s="52"/>
      <c r="AD44" s="261"/>
    </row>
    <row r="45" spans="1:30" hidden="1">
      <c r="B45" s="339"/>
      <c r="C45" s="54" t="str">
        <f>B39</f>
        <v>ﾌﾙ･ﾊｰﾈｽ</v>
      </c>
      <c r="D45" s="41"/>
      <c r="E45" s="42" t="s">
        <v>685</v>
      </c>
      <c r="F45" s="169">
        <v>40</v>
      </c>
      <c r="G45" s="83">
        <f t="shared" si="10"/>
        <v>40</v>
      </c>
      <c r="H45" s="3"/>
      <c r="I45" s="51">
        <f t="shared" si="11"/>
        <v>0</v>
      </c>
      <c r="J45" s="376"/>
      <c r="K45" s="376"/>
      <c r="L45" s="376"/>
      <c r="M45" s="376"/>
      <c r="N45" s="376"/>
      <c r="O45" s="377"/>
      <c r="P45" s="376"/>
      <c r="Q45" s="376"/>
      <c r="R45" s="376"/>
      <c r="S45" s="376"/>
      <c r="T45" s="376"/>
      <c r="U45" s="376"/>
      <c r="V45" s="376"/>
      <c r="W45" s="376"/>
      <c r="X45" s="376"/>
      <c r="Y45" s="170"/>
      <c r="Z45" s="170"/>
      <c r="AB45" s="51"/>
      <c r="AC45" s="62"/>
      <c r="AD45" s="261"/>
    </row>
    <row r="46" spans="1:30" ht="22" customHeight="1">
      <c r="B46" s="366" t="s">
        <v>52</v>
      </c>
      <c r="C46" s="17" t="s">
        <v>1225</v>
      </c>
      <c r="D46" s="139">
        <v>45435</v>
      </c>
      <c r="E46" s="140" t="s">
        <v>684</v>
      </c>
      <c r="F46" s="141">
        <v>40</v>
      </c>
      <c r="G46" s="142">
        <f t="shared" si="10"/>
        <v>40</v>
      </c>
      <c r="H46" s="3"/>
      <c r="I46" s="143">
        <f t="shared" si="11"/>
        <v>0</v>
      </c>
      <c r="J46" s="386"/>
      <c r="K46" s="387"/>
      <c r="L46" s="388"/>
      <c r="M46" s="386"/>
      <c r="N46" s="387"/>
      <c r="O46" s="389"/>
      <c r="P46" s="386"/>
      <c r="Q46" s="387"/>
      <c r="R46" s="388"/>
      <c r="S46" s="386"/>
      <c r="T46" s="387"/>
      <c r="U46" s="388"/>
      <c r="V46" s="386"/>
      <c r="W46" s="387"/>
      <c r="X46" s="388"/>
      <c r="Y46" s="144"/>
      <c r="Z46" s="144"/>
      <c r="AB46" s="145"/>
      <c r="AC46" s="62" t="s">
        <v>987</v>
      </c>
      <c r="AD46" s="259"/>
    </row>
    <row r="47" spans="1:30" ht="19.5" customHeight="1">
      <c r="B47" s="381"/>
      <c r="C47" s="176" t="s">
        <v>1225</v>
      </c>
      <c r="D47" s="41">
        <v>45463</v>
      </c>
      <c r="E47" s="42" t="s">
        <v>686</v>
      </c>
      <c r="F47" s="43">
        <v>20</v>
      </c>
      <c r="G47" s="44">
        <f t="shared" si="10"/>
        <v>19</v>
      </c>
      <c r="H47" s="3"/>
      <c r="I47" s="46">
        <f t="shared" si="11"/>
        <v>1</v>
      </c>
      <c r="J47" s="346"/>
      <c r="K47" s="347"/>
      <c r="L47" s="352"/>
      <c r="M47" s="346">
        <v>1</v>
      </c>
      <c r="N47" s="347"/>
      <c r="O47" s="348"/>
      <c r="P47" s="346"/>
      <c r="Q47" s="347"/>
      <c r="R47" s="352"/>
      <c r="S47" s="346"/>
      <c r="T47" s="347"/>
      <c r="U47" s="352"/>
      <c r="V47" s="346"/>
      <c r="W47" s="347"/>
      <c r="X47" s="352"/>
      <c r="Y47" s="50">
        <v>45373</v>
      </c>
      <c r="Z47" s="50"/>
      <c r="AB47" s="51"/>
      <c r="AC47" s="62" t="s">
        <v>768</v>
      </c>
      <c r="AD47" s="261"/>
    </row>
    <row r="48" spans="1:30" ht="19.5" customHeight="1">
      <c r="B48" s="340"/>
      <c r="C48" s="176" t="s">
        <v>1225</v>
      </c>
      <c r="D48" s="89">
        <v>45625</v>
      </c>
      <c r="E48" s="90" t="s">
        <v>684</v>
      </c>
      <c r="F48" s="95">
        <v>40</v>
      </c>
      <c r="G48" s="91">
        <f t="shared" si="10"/>
        <v>40</v>
      </c>
      <c r="H48" s="3"/>
      <c r="I48" s="93">
        <f t="shared" si="11"/>
        <v>0</v>
      </c>
      <c r="J48" s="356"/>
      <c r="K48" s="357"/>
      <c r="L48" s="378"/>
      <c r="M48" s="356"/>
      <c r="N48" s="357"/>
      <c r="O48" s="358"/>
      <c r="P48" s="356"/>
      <c r="Q48" s="357"/>
      <c r="R48" s="378"/>
      <c r="S48" s="356"/>
      <c r="T48" s="357"/>
      <c r="U48" s="378"/>
      <c r="V48" s="356"/>
      <c r="W48" s="357"/>
      <c r="X48" s="378"/>
      <c r="Y48" s="98"/>
      <c r="Z48" s="98"/>
      <c r="AB48" s="72"/>
      <c r="AC48" s="299" t="s">
        <v>987</v>
      </c>
      <c r="AD48" s="262"/>
    </row>
    <row r="49" spans="2:30" ht="19.5" customHeight="1">
      <c r="B49" s="366" t="s">
        <v>55</v>
      </c>
      <c r="C49" s="54" t="s">
        <v>56</v>
      </c>
      <c r="D49" s="55">
        <v>45485</v>
      </c>
      <c r="E49" s="112" t="s">
        <v>684</v>
      </c>
      <c r="F49" s="56">
        <v>40</v>
      </c>
      <c r="G49" s="83">
        <f t="shared" si="6"/>
        <v>39</v>
      </c>
      <c r="H49" s="45"/>
      <c r="I49" s="57">
        <f t="shared" si="11"/>
        <v>1</v>
      </c>
      <c r="J49" s="359">
        <v>1</v>
      </c>
      <c r="K49" s="360"/>
      <c r="L49" s="361"/>
      <c r="M49" s="359"/>
      <c r="N49" s="360"/>
      <c r="O49" s="362"/>
      <c r="P49" s="359"/>
      <c r="Q49" s="360"/>
      <c r="R49" s="361"/>
      <c r="S49" s="359"/>
      <c r="T49" s="360"/>
      <c r="U49" s="361"/>
      <c r="V49" s="446"/>
      <c r="W49" s="360"/>
      <c r="X49" s="361"/>
      <c r="Y49" s="61">
        <v>45328</v>
      </c>
      <c r="Z49" s="61"/>
      <c r="AB49" s="156"/>
      <c r="AC49" s="241" t="s">
        <v>987</v>
      </c>
      <c r="AD49" s="260"/>
    </row>
    <row r="50" spans="2:30" ht="19.5" customHeight="1">
      <c r="B50" s="340"/>
      <c r="C50" s="88" t="s">
        <v>56</v>
      </c>
      <c r="D50" s="89">
        <v>45632</v>
      </c>
      <c r="E50" s="64" t="s">
        <v>684</v>
      </c>
      <c r="F50" s="95">
        <v>40</v>
      </c>
      <c r="G50" s="91">
        <f t="shared" si="6"/>
        <v>40</v>
      </c>
      <c r="H50" s="45"/>
      <c r="I50" s="135">
        <f t="shared" si="11"/>
        <v>0</v>
      </c>
      <c r="J50" s="356"/>
      <c r="K50" s="357"/>
      <c r="L50" s="378"/>
      <c r="M50" s="356"/>
      <c r="N50" s="357"/>
      <c r="O50" s="358"/>
      <c r="P50" s="356"/>
      <c r="Q50" s="357"/>
      <c r="R50" s="378"/>
      <c r="S50" s="356"/>
      <c r="T50" s="357"/>
      <c r="U50" s="378"/>
      <c r="V50" s="356"/>
      <c r="W50" s="357"/>
      <c r="X50" s="378"/>
      <c r="Y50" s="98"/>
      <c r="Z50" s="98"/>
      <c r="AB50" s="72"/>
      <c r="AC50" s="137" t="s">
        <v>987</v>
      </c>
      <c r="AD50" s="262"/>
    </row>
    <row r="51" spans="2:30" ht="19.5" customHeight="1">
      <c r="B51" s="349" t="s">
        <v>1054</v>
      </c>
      <c r="C51" s="88" t="s">
        <v>1055</v>
      </c>
      <c r="D51" s="55"/>
      <c r="E51" s="140" t="s">
        <v>684</v>
      </c>
      <c r="F51" s="56">
        <v>50</v>
      </c>
      <c r="G51" s="44">
        <f t="shared" si="6"/>
        <v>50</v>
      </c>
      <c r="H51" s="45"/>
      <c r="I51" s="57">
        <f t="shared" si="11"/>
        <v>0</v>
      </c>
      <c r="J51" s="386"/>
      <c r="K51" s="387"/>
      <c r="L51" s="388"/>
      <c r="M51" s="386"/>
      <c r="N51" s="387"/>
      <c r="O51" s="388"/>
      <c r="P51" s="386"/>
      <c r="Q51" s="387"/>
      <c r="R51" s="388"/>
      <c r="S51" s="386"/>
      <c r="T51" s="387"/>
      <c r="U51" s="388"/>
      <c r="V51" s="386"/>
      <c r="W51" s="387"/>
      <c r="X51" s="388"/>
      <c r="Y51" s="61"/>
      <c r="Z51" s="61"/>
      <c r="AA51" s="301"/>
      <c r="AB51" s="51"/>
      <c r="AC51" s="157" t="s">
        <v>762</v>
      </c>
      <c r="AD51" s="261"/>
    </row>
    <row r="52" spans="2:30" ht="19.5" customHeight="1">
      <c r="B52" s="340"/>
      <c r="C52" s="88" t="s">
        <v>1055</v>
      </c>
      <c r="D52" s="89"/>
      <c r="E52" s="90" t="s">
        <v>684</v>
      </c>
      <c r="F52" s="95">
        <v>100</v>
      </c>
      <c r="G52" s="91">
        <f t="shared" si="6"/>
        <v>100</v>
      </c>
      <c r="H52" s="45"/>
      <c r="I52" s="93">
        <f t="shared" si="11"/>
        <v>0</v>
      </c>
      <c r="J52" s="356"/>
      <c r="K52" s="357"/>
      <c r="L52" s="378"/>
      <c r="M52" s="356"/>
      <c r="N52" s="357"/>
      <c r="O52" s="378"/>
      <c r="P52" s="356"/>
      <c r="Q52" s="357"/>
      <c r="R52" s="378"/>
      <c r="S52" s="356"/>
      <c r="T52" s="357"/>
      <c r="U52" s="378"/>
      <c r="V52" s="356"/>
      <c r="W52" s="357"/>
      <c r="X52" s="378"/>
      <c r="Y52" s="98"/>
      <c r="Z52" s="98"/>
      <c r="AA52" s="301"/>
      <c r="AB52" s="115"/>
      <c r="AC52" s="299" t="s">
        <v>1110</v>
      </c>
      <c r="AD52" s="262"/>
    </row>
    <row r="53" spans="2:30" hidden="1">
      <c r="B53" s="349" t="s">
        <v>1183</v>
      </c>
      <c r="C53" s="132" t="s">
        <v>1184</v>
      </c>
      <c r="D53" s="55"/>
      <c r="E53" s="112"/>
      <c r="F53" s="56">
        <v>30</v>
      </c>
      <c r="G53" s="44">
        <f t="shared" ref="G53" si="12">F53-I53</f>
        <v>30</v>
      </c>
      <c r="H53" s="113"/>
      <c r="I53" s="46">
        <f t="shared" ref="I53" si="13">SUM(J53:X53)</f>
        <v>0</v>
      </c>
      <c r="J53" s="386"/>
      <c r="K53" s="387"/>
      <c r="L53" s="388"/>
      <c r="M53" s="386"/>
      <c r="N53" s="387"/>
      <c r="O53" s="388"/>
      <c r="P53" s="386"/>
      <c r="Q53" s="387"/>
      <c r="R53" s="388"/>
      <c r="S53" s="386"/>
      <c r="T53" s="387"/>
      <c r="U53" s="388"/>
      <c r="V53" s="386"/>
      <c r="W53" s="387"/>
      <c r="X53" s="388"/>
      <c r="Y53" s="61"/>
      <c r="Z53" s="61"/>
      <c r="AB53" s="145"/>
      <c r="AC53" s="331"/>
      <c r="AD53" s="308"/>
    </row>
    <row r="54" spans="2:30" hidden="1">
      <c r="B54" s="340"/>
      <c r="C54" s="132" t="s">
        <v>1184</v>
      </c>
      <c r="D54" s="89"/>
      <c r="E54" s="90"/>
      <c r="F54" s="95">
        <v>30</v>
      </c>
      <c r="G54" s="91">
        <f t="shared" si="6"/>
        <v>30</v>
      </c>
      <c r="H54" s="116"/>
      <c r="I54" s="93">
        <f t="shared" si="11"/>
        <v>0</v>
      </c>
      <c r="J54" s="356"/>
      <c r="K54" s="357"/>
      <c r="L54" s="378"/>
      <c r="M54" s="356"/>
      <c r="N54" s="357"/>
      <c r="O54" s="378"/>
      <c r="P54" s="356"/>
      <c r="Q54" s="357"/>
      <c r="R54" s="378"/>
      <c r="S54" s="356"/>
      <c r="T54" s="357"/>
      <c r="U54" s="378"/>
      <c r="V54" s="356"/>
      <c r="W54" s="357"/>
      <c r="X54" s="378"/>
      <c r="Y54" s="98"/>
      <c r="Z54" s="98"/>
      <c r="AB54" s="72"/>
      <c r="AC54" s="332"/>
      <c r="AD54" s="308"/>
    </row>
    <row r="55" spans="2:30" ht="18" customHeight="1">
      <c r="B55" s="349" t="s">
        <v>1181</v>
      </c>
      <c r="C55" s="307" t="s">
        <v>1182</v>
      </c>
      <c r="D55" s="139">
        <v>45399</v>
      </c>
      <c r="E55" s="42" t="s">
        <v>684</v>
      </c>
      <c r="F55" s="56">
        <v>30</v>
      </c>
      <c r="G55" s="44">
        <f t="shared" ref="G55" si="14">F55-I55</f>
        <v>15</v>
      </c>
      <c r="H55" s="113"/>
      <c r="I55" s="46">
        <f t="shared" ref="I55" si="15">SUM(J55:X55)</f>
        <v>15</v>
      </c>
      <c r="J55" s="386">
        <f>3+1+1</f>
        <v>5</v>
      </c>
      <c r="K55" s="387"/>
      <c r="L55" s="388"/>
      <c r="M55" s="386">
        <f>4+6</f>
        <v>10</v>
      </c>
      <c r="N55" s="387"/>
      <c r="O55" s="388"/>
      <c r="P55" s="386"/>
      <c r="Q55" s="387"/>
      <c r="R55" s="388"/>
      <c r="S55" s="386"/>
      <c r="T55" s="387"/>
      <c r="U55" s="388"/>
      <c r="V55" s="386"/>
      <c r="W55" s="387"/>
      <c r="X55" s="388"/>
      <c r="Y55" s="61">
        <v>45378</v>
      </c>
      <c r="Z55" s="61"/>
      <c r="AB55" s="145"/>
      <c r="AC55" s="241" t="s">
        <v>987</v>
      </c>
      <c r="AD55" s="309"/>
    </row>
    <row r="56" spans="2:30" ht="18" customHeight="1">
      <c r="B56" s="340"/>
      <c r="C56" s="307" t="s">
        <v>1182</v>
      </c>
      <c r="D56" s="89">
        <v>45453</v>
      </c>
      <c r="E56" s="42" t="s">
        <v>685</v>
      </c>
      <c r="F56" s="95">
        <v>30</v>
      </c>
      <c r="G56" s="91">
        <f t="shared" si="6"/>
        <v>30</v>
      </c>
      <c r="H56" s="116"/>
      <c r="I56" s="93">
        <f t="shared" si="11"/>
        <v>0</v>
      </c>
      <c r="J56" s="356"/>
      <c r="K56" s="357"/>
      <c r="L56" s="378"/>
      <c r="M56" s="356"/>
      <c r="N56" s="357"/>
      <c r="O56" s="378"/>
      <c r="P56" s="356"/>
      <c r="Q56" s="357"/>
      <c r="R56" s="378"/>
      <c r="S56" s="356"/>
      <c r="T56" s="357"/>
      <c r="U56" s="378"/>
      <c r="V56" s="356"/>
      <c r="W56" s="357"/>
      <c r="X56" s="378"/>
      <c r="Y56" s="98"/>
      <c r="Z56" s="98"/>
      <c r="AB56" s="72"/>
      <c r="AC56" s="154" t="s">
        <v>769</v>
      </c>
      <c r="AD56" s="309"/>
    </row>
    <row r="57" spans="2:30" ht="19.5" customHeight="1" thickBot="1">
      <c r="B57" s="120"/>
      <c r="C57" s="178"/>
      <c r="D57" s="179" t="s">
        <v>1226</v>
      </c>
      <c r="E57" s="102" t="s">
        <v>3</v>
      </c>
      <c r="F57" s="123" t="s">
        <v>4</v>
      </c>
      <c r="G57" s="315" t="s">
        <v>37</v>
      </c>
      <c r="H57" s="12"/>
      <c r="I57" s="181" t="s">
        <v>6</v>
      </c>
      <c r="J57" s="341" t="str">
        <f>J3</f>
        <v>飯塚</v>
      </c>
      <c r="K57" s="342"/>
      <c r="L57" s="343"/>
      <c r="M57" s="341" t="str">
        <f t="shared" ref="M57" si="16">M3</f>
        <v>田川</v>
      </c>
      <c r="N57" s="342"/>
      <c r="O57" s="343"/>
      <c r="P57" s="341" t="str">
        <f t="shared" ref="P57" si="17">P3</f>
        <v>直鞍</v>
      </c>
      <c r="Q57" s="342"/>
      <c r="R57" s="343"/>
      <c r="S57" s="341"/>
      <c r="T57" s="342"/>
      <c r="U57" s="343"/>
      <c r="V57" s="341"/>
      <c r="W57" s="342"/>
      <c r="X57" s="343"/>
      <c r="Y57" s="304" t="str">
        <f>Y3</f>
        <v>更新日時</v>
      </c>
      <c r="Z57" s="125" t="str">
        <f>Z3</f>
        <v>キャンセル待ち</v>
      </c>
    </row>
    <row r="59" spans="2:30">
      <c r="B59" s="335" t="s">
        <v>1183</v>
      </c>
      <c r="C59" s="335" t="s">
        <v>1240</v>
      </c>
      <c r="D59" s="336"/>
      <c r="E59" s="334" t="s">
        <v>3</v>
      </c>
      <c r="F59" s="125" t="s">
        <v>1198</v>
      </c>
      <c r="G59" s="163" t="s">
        <v>37</v>
      </c>
      <c r="H59" s="324"/>
      <c r="I59" s="125" t="s">
        <v>6</v>
      </c>
      <c r="J59" s="433" t="s">
        <v>7</v>
      </c>
      <c r="K59" s="434"/>
      <c r="L59" s="435"/>
      <c r="M59" s="341" t="s">
        <v>8</v>
      </c>
      <c r="N59" s="342"/>
      <c r="O59" s="344"/>
      <c r="P59" s="341" t="s">
        <v>9</v>
      </c>
      <c r="Q59" s="342"/>
      <c r="R59" s="343"/>
      <c r="S59" s="341"/>
      <c r="T59" s="342"/>
      <c r="U59" s="343"/>
      <c r="V59" s="341"/>
      <c r="W59" s="342"/>
      <c r="X59" s="343"/>
      <c r="Y59" s="304" t="str">
        <f>Y57</f>
        <v>更新日時</v>
      </c>
      <c r="Z59" s="125" t="str">
        <f>Z57</f>
        <v>キャンセル待ち</v>
      </c>
      <c r="AB59" s="337"/>
      <c r="AC59" s="440"/>
    </row>
    <row r="60" spans="2:30">
      <c r="B60" s="319">
        <v>0.375</v>
      </c>
      <c r="C60" s="320" t="s">
        <v>1191</v>
      </c>
      <c r="D60" s="321">
        <v>0.41666666666666669</v>
      </c>
      <c r="E60" s="428" t="s">
        <v>684</v>
      </c>
      <c r="F60" s="320">
        <v>5</v>
      </c>
      <c r="G60" s="323">
        <f>F60-I60</f>
        <v>5</v>
      </c>
      <c r="H60" s="325"/>
      <c r="I60" s="322">
        <f t="shared" ref="I60:I66" si="18">SUM(J60:R60)</f>
        <v>0</v>
      </c>
      <c r="J60" s="421"/>
      <c r="K60" s="422"/>
      <c r="L60" s="423"/>
      <c r="M60" s="421"/>
      <c r="N60" s="422"/>
      <c r="O60" s="423"/>
      <c r="P60" s="421"/>
      <c r="Q60" s="422"/>
      <c r="R60" s="423"/>
      <c r="S60" s="421"/>
      <c r="T60" s="422"/>
      <c r="U60" s="423"/>
      <c r="V60" s="421"/>
      <c r="W60" s="422"/>
      <c r="X60" s="423"/>
      <c r="Y60" s="326"/>
      <c r="Z60" s="326"/>
      <c r="AB60" s="325"/>
      <c r="AC60" s="441"/>
    </row>
    <row r="61" spans="2:30">
      <c r="B61" s="319">
        <v>0.41666666666666669</v>
      </c>
      <c r="C61" s="320" t="s">
        <v>1191</v>
      </c>
      <c r="D61" s="321">
        <v>0.45833333333333331</v>
      </c>
      <c r="E61" s="428"/>
      <c r="F61" s="320">
        <v>5</v>
      </c>
      <c r="G61" s="323">
        <f t="shared" ref="G61:G66" si="19">F61-I61</f>
        <v>5</v>
      </c>
      <c r="H61" s="325"/>
      <c r="I61" s="322">
        <f t="shared" si="18"/>
        <v>0</v>
      </c>
      <c r="J61" s="421"/>
      <c r="K61" s="422"/>
      <c r="L61" s="423"/>
      <c r="M61" s="421"/>
      <c r="N61" s="422"/>
      <c r="O61" s="423"/>
      <c r="P61" s="421"/>
      <c r="Q61" s="422"/>
      <c r="R61" s="423"/>
      <c r="S61" s="421"/>
      <c r="T61" s="422"/>
      <c r="U61" s="423"/>
      <c r="V61" s="421"/>
      <c r="W61" s="422"/>
      <c r="X61" s="423"/>
      <c r="Y61" s="326"/>
      <c r="Z61" s="326"/>
      <c r="AB61" s="325"/>
      <c r="AC61" s="441"/>
    </row>
    <row r="62" spans="2:30">
      <c r="B62" s="319">
        <v>0.45833333333333298</v>
      </c>
      <c r="C62" s="320" t="s">
        <v>1191</v>
      </c>
      <c r="D62" s="321">
        <v>0.5</v>
      </c>
      <c r="E62" s="428"/>
      <c r="F62" s="320">
        <v>5</v>
      </c>
      <c r="G62" s="323">
        <f t="shared" si="19"/>
        <v>5</v>
      </c>
      <c r="H62" s="325"/>
      <c r="I62" s="322">
        <f t="shared" si="18"/>
        <v>0</v>
      </c>
      <c r="J62" s="421"/>
      <c r="K62" s="422"/>
      <c r="L62" s="423"/>
      <c r="M62" s="421"/>
      <c r="N62" s="422"/>
      <c r="O62" s="423"/>
      <c r="P62" s="421"/>
      <c r="Q62" s="422"/>
      <c r="R62" s="423"/>
      <c r="S62" s="421"/>
      <c r="T62" s="422"/>
      <c r="U62" s="423"/>
      <c r="V62" s="421"/>
      <c r="W62" s="422"/>
      <c r="X62" s="423"/>
      <c r="Y62" s="326"/>
      <c r="Z62" s="326"/>
      <c r="AB62" s="325"/>
      <c r="AC62" s="441"/>
    </row>
    <row r="63" spans="2:30">
      <c r="B63" s="319">
        <v>0.5</v>
      </c>
      <c r="C63" s="320" t="s">
        <v>1191</v>
      </c>
      <c r="D63" s="321">
        <v>0.54166666666666696</v>
      </c>
      <c r="E63" s="428"/>
      <c r="F63" s="327"/>
      <c r="G63" s="328"/>
      <c r="H63" s="325"/>
      <c r="I63" s="329"/>
      <c r="J63" s="430" t="s">
        <v>1192</v>
      </c>
      <c r="K63" s="431"/>
      <c r="L63" s="431"/>
      <c r="M63" s="431"/>
      <c r="N63" s="431"/>
      <c r="O63" s="431"/>
      <c r="P63" s="431"/>
      <c r="Q63" s="431"/>
      <c r="R63" s="432"/>
      <c r="S63" s="424"/>
      <c r="T63" s="425"/>
      <c r="U63" s="426"/>
      <c r="V63" s="424"/>
      <c r="W63" s="425"/>
      <c r="X63" s="426"/>
      <c r="Y63" s="330"/>
      <c r="Z63" s="330"/>
      <c r="AB63" s="325"/>
      <c r="AC63" s="441"/>
    </row>
    <row r="64" spans="2:30">
      <c r="B64" s="319">
        <v>0.54166666666666696</v>
      </c>
      <c r="C64" s="320" t="s">
        <v>1191</v>
      </c>
      <c r="D64" s="321">
        <v>0.58333333333333404</v>
      </c>
      <c r="E64" s="428"/>
      <c r="F64" s="320">
        <v>5</v>
      </c>
      <c r="G64" s="323">
        <f t="shared" si="19"/>
        <v>5</v>
      </c>
      <c r="H64" s="325"/>
      <c r="I64" s="322">
        <f t="shared" si="18"/>
        <v>0</v>
      </c>
      <c r="J64" s="421"/>
      <c r="K64" s="422"/>
      <c r="L64" s="423"/>
      <c r="M64" s="421"/>
      <c r="N64" s="422"/>
      <c r="O64" s="423"/>
      <c r="P64" s="421"/>
      <c r="Q64" s="422"/>
      <c r="R64" s="423"/>
      <c r="S64" s="421"/>
      <c r="T64" s="422"/>
      <c r="U64" s="423"/>
      <c r="V64" s="421"/>
      <c r="W64" s="422"/>
      <c r="X64" s="423"/>
      <c r="Y64" s="326"/>
      <c r="Z64" s="326"/>
      <c r="AB64" s="325"/>
      <c r="AC64" s="441"/>
    </row>
    <row r="65" spans="2:30">
      <c r="B65" s="319">
        <v>0.58333333333333304</v>
      </c>
      <c r="C65" s="320" t="s">
        <v>1191</v>
      </c>
      <c r="D65" s="321">
        <v>0.625</v>
      </c>
      <c r="E65" s="428"/>
      <c r="F65" s="320">
        <v>5</v>
      </c>
      <c r="G65" s="323">
        <f t="shared" si="19"/>
        <v>5</v>
      </c>
      <c r="H65" s="325"/>
      <c r="I65" s="322">
        <f t="shared" si="18"/>
        <v>0</v>
      </c>
      <c r="J65" s="421"/>
      <c r="K65" s="422"/>
      <c r="L65" s="423"/>
      <c r="M65" s="421"/>
      <c r="N65" s="422"/>
      <c r="O65" s="423"/>
      <c r="P65" s="421"/>
      <c r="Q65" s="422"/>
      <c r="R65" s="423"/>
      <c r="S65" s="421"/>
      <c r="T65" s="422"/>
      <c r="U65" s="423"/>
      <c r="V65" s="421"/>
      <c r="W65" s="422"/>
      <c r="X65" s="423"/>
      <c r="Y65" s="326"/>
      <c r="Z65" s="326"/>
      <c r="AB65" s="325"/>
      <c r="AC65" s="441"/>
    </row>
    <row r="66" spans="2:30">
      <c r="B66" s="319">
        <v>0.625</v>
      </c>
      <c r="C66" s="320" t="s">
        <v>1191</v>
      </c>
      <c r="D66" s="321">
        <v>0.66666666666666696</v>
      </c>
      <c r="E66" s="428"/>
      <c r="F66" s="320">
        <v>5</v>
      </c>
      <c r="G66" s="323">
        <f t="shared" si="19"/>
        <v>5</v>
      </c>
      <c r="H66" s="325"/>
      <c r="I66" s="322">
        <f t="shared" si="18"/>
        <v>0</v>
      </c>
      <c r="J66" s="421"/>
      <c r="K66" s="422"/>
      <c r="L66" s="423"/>
      <c r="M66" s="421"/>
      <c r="N66" s="422"/>
      <c r="O66" s="423"/>
      <c r="P66" s="421"/>
      <c r="Q66" s="422"/>
      <c r="R66" s="423"/>
      <c r="S66" s="421"/>
      <c r="T66" s="422"/>
      <c r="U66" s="423"/>
      <c r="V66" s="421"/>
      <c r="W66" s="422"/>
      <c r="X66" s="423"/>
      <c r="Y66" s="326"/>
      <c r="Z66" s="326"/>
      <c r="AB66" s="325"/>
      <c r="AC66" s="441"/>
    </row>
    <row r="67" spans="2:30">
      <c r="B67" s="319">
        <v>0.66666666666666696</v>
      </c>
      <c r="C67" s="320" t="s">
        <v>1191</v>
      </c>
      <c r="D67" s="321">
        <v>0.70833333333333404</v>
      </c>
      <c r="E67" s="428"/>
      <c r="F67" s="327">
        <v>0</v>
      </c>
      <c r="G67" s="328"/>
      <c r="H67" s="325"/>
      <c r="I67" s="329"/>
      <c r="J67" s="430" t="s">
        <v>1193</v>
      </c>
      <c r="K67" s="431"/>
      <c r="L67" s="431"/>
      <c r="M67" s="431"/>
      <c r="N67" s="431"/>
      <c r="O67" s="431"/>
      <c r="P67" s="431"/>
      <c r="Q67" s="431"/>
      <c r="R67" s="432"/>
      <c r="S67" s="424"/>
      <c r="T67" s="425"/>
      <c r="U67" s="426"/>
      <c r="V67" s="424"/>
      <c r="W67" s="425"/>
      <c r="X67" s="426"/>
      <c r="Y67" s="330"/>
      <c r="Z67" s="330"/>
      <c r="AB67" s="338"/>
      <c r="AC67" s="442"/>
    </row>
    <row r="68" spans="2:30">
      <c r="F68" s="326">
        <f>SUM(F60:F67)</f>
        <v>30</v>
      </c>
      <c r="G68" s="323">
        <f>SUM(G60:G67)</f>
        <v>30</v>
      </c>
      <c r="I68" s="326" t="s">
        <v>1201</v>
      </c>
      <c r="J68" s="436">
        <f>SUM(J64:L66,J60:L62)</f>
        <v>0</v>
      </c>
      <c r="K68" s="436"/>
      <c r="L68" s="436"/>
      <c r="M68" s="436">
        <f>SUM(M64:O66,M60:O62)</f>
        <v>0</v>
      </c>
      <c r="N68" s="436"/>
      <c r="O68" s="436"/>
      <c r="P68" s="436">
        <f>SUM(P64:R66,P60:R62)</f>
        <v>0</v>
      </c>
      <c r="Q68" s="436"/>
      <c r="R68" s="436"/>
      <c r="Z68" s="3"/>
      <c r="AA68" s="3"/>
      <c r="AC68" s="2"/>
      <c r="AD68" s="2"/>
    </row>
    <row r="70" spans="2:30">
      <c r="B70" s="335" t="s">
        <v>1183</v>
      </c>
      <c r="C70" s="335" t="s">
        <v>1240</v>
      </c>
      <c r="D70" s="336"/>
      <c r="E70" s="334" t="s">
        <v>3</v>
      </c>
      <c r="F70" s="125" t="s">
        <v>1198</v>
      </c>
      <c r="G70" s="163" t="s">
        <v>37</v>
      </c>
      <c r="H70" s="324"/>
      <c r="I70" s="125" t="s">
        <v>6</v>
      </c>
      <c r="J70" s="433" t="s">
        <v>7</v>
      </c>
      <c r="K70" s="434"/>
      <c r="L70" s="435"/>
      <c r="M70" s="341" t="s">
        <v>8</v>
      </c>
      <c r="N70" s="342"/>
      <c r="O70" s="344"/>
      <c r="P70" s="341" t="s">
        <v>9</v>
      </c>
      <c r="Q70" s="342"/>
      <c r="R70" s="343"/>
      <c r="S70" s="341"/>
      <c r="T70" s="342"/>
      <c r="U70" s="343"/>
      <c r="V70" s="341"/>
      <c r="W70" s="342"/>
      <c r="X70" s="343"/>
      <c r="Y70" s="304">
        <f>Y68</f>
        <v>0</v>
      </c>
      <c r="Z70" s="125">
        <f>Z68</f>
        <v>0</v>
      </c>
      <c r="AB70" s="337"/>
      <c r="AC70" s="440"/>
    </row>
    <row r="71" spans="2:30">
      <c r="B71" s="319">
        <v>0.375</v>
      </c>
      <c r="C71" s="320" t="s">
        <v>1191</v>
      </c>
      <c r="D71" s="321">
        <v>0.41666666666666669</v>
      </c>
      <c r="E71" s="428" t="s">
        <v>684</v>
      </c>
      <c r="F71" s="320">
        <v>5</v>
      </c>
      <c r="G71" s="323">
        <f>F71-I71</f>
        <v>5</v>
      </c>
      <c r="H71" s="325"/>
      <c r="I71" s="322">
        <f t="shared" ref="I71:I77" si="20">SUM(J71:R71)</f>
        <v>0</v>
      </c>
      <c r="J71" s="421"/>
      <c r="K71" s="422"/>
      <c r="L71" s="423"/>
      <c r="M71" s="421"/>
      <c r="N71" s="422"/>
      <c r="O71" s="423"/>
      <c r="P71" s="421"/>
      <c r="Q71" s="422"/>
      <c r="R71" s="423"/>
      <c r="S71" s="421"/>
      <c r="T71" s="422"/>
      <c r="U71" s="423"/>
      <c r="V71" s="421"/>
      <c r="W71" s="422"/>
      <c r="X71" s="423"/>
      <c r="Y71" s="326"/>
      <c r="Z71" s="326"/>
      <c r="AB71" s="325"/>
      <c r="AC71" s="441"/>
    </row>
    <row r="72" spans="2:30">
      <c r="B72" s="319">
        <v>0.41666666666666669</v>
      </c>
      <c r="C72" s="320" t="s">
        <v>1191</v>
      </c>
      <c r="D72" s="321">
        <v>0.45833333333333331</v>
      </c>
      <c r="E72" s="428"/>
      <c r="F72" s="320">
        <v>5</v>
      </c>
      <c r="G72" s="323">
        <f t="shared" ref="G72:G77" si="21">F72-I72</f>
        <v>5</v>
      </c>
      <c r="H72" s="325"/>
      <c r="I72" s="322">
        <f t="shared" si="20"/>
        <v>0</v>
      </c>
      <c r="J72" s="421"/>
      <c r="K72" s="422"/>
      <c r="L72" s="423"/>
      <c r="M72" s="421"/>
      <c r="N72" s="422"/>
      <c r="O72" s="423"/>
      <c r="P72" s="421"/>
      <c r="Q72" s="422"/>
      <c r="R72" s="423"/>
      <c r="S72" s="421"/>
      <c r="T72" s="422"/>
      <c r="U72" s="423"/>
      <c r="V72" s="421"/>
      <c r="W72" s="422"/>
      <c r="X72" s="423"/>
      <c r="Y72" s="326"/>
      <c r="Z72" s="326"/>
      <c r="AB72" s="325"/>
      <c r="AC72" s="441"/>
    </row>
    <row r="73" spans="2:30">
      <c r="B73" s="319">
        <v>0.45833333333333298</v>
      </c>
      <c r="C73" s="320" t="s">
        <v>1191</v>
      </c>
      <c r="D73" s="321">
        <v>0.5</v>
      </c>
      <c r="E73" s="428"/>
      <c r="F73" s="320">
        <v>5</v>
      </c>
      <c r="G73" s="323">
        <f t="shared" si="21"/>
        <v>5</v>
      </c>
      <c r="H73" s="325"/>
      <c r="I73" s="322">
        <f t="shared" si="20"/>
        <v>0</v>
      </c>
      <c r="J73" s="421"/>
      <c r="K73" s="422"/>
      <c r="L73" s="423"/>
      <c r="M73" s="421"/>
      <c r="N73" s="422"/>
      <c r="O73" s="423"/>
      <c r="P73" s="421"/>
      <c r="Q73" s="422"/>
      <c r="R73" s="423"/>
      <c r="S73" s="421"/>
      <c r="T73" s="422"/>
      <c r="U73" s="423"/>
      <c r="V73" s="421"/>
      <c r="W73" s="422"/>
      <c r="X73" s="423"/>
      <c r="Y73" s="326"/>
      <c r="Z73" s="326"/>
      <c r="AB73" s="325"/>
      <c r="AC73" s="441"/>
    </row>
    <row r="74" spans="2:30">
      <c r="B74" s="319">
        <v>0.5</v>
      </c>
      <c r="C74" s="320" t="s">
        <v>1191</v>
      </c>
      <c r="D74" s="321">
        <v>0.54166666666666696</v>
      </c>
      <c r="E74" s="428"/>
      <c r="F74" s="327"/>
      <c r="G74" s="328"/>
      <c r="H74" s="325"/>
      <c r="I74" s="329"/>
      <c r="J74" s="430" t="s">
        <v>1192</v>
      </c>
      <c r="K74" s="431"/>
      <c r="L74" s="431"/>
      <c r="M74" s="431"/>
      <c r="N74" s="431"/>
      <c r="O74" s="431"/>
      <c r="P74" s="431"/>
      <c r="Q74" s="431"/>
      <c r="R74" s="432"/>
      <c r="S74" s="424"/>
      <c r="T74" s="425"/>
      <c r="U74" s="426"/>
      <c r="V74" s="424"/>
      <c r="W74" s="425"/>
      <c r="X74" s="426"/>
      <c r="Y74" s="330"/>
      <c r="Z74" s="330"/>
      <c r="AB74" s="325"/>
      <c r="AC74" s="441"/>
    </row>
    <row r="75" spans="2:30">
      <c r="B75" s="319">
        <v>0.54166666666666696</v>
      </c>
      <c r="C75" s="320" t="s">
        <v>1191</v>
      </c>
      <c r="D75" s="321">
        <v>0.58333333333333404</v>
      </c>
      <c r="E75" s="428"/>
      <c r="F75" s="320">
        <v>5</v>
      </c>
      <c r="G75" s="323">
        <f t="shared" ref="G75:G79" si="22">F75-I75</f>
        <v>5</v>
      </c>
      <c r="H75" s="325"/>
      <c r="I75" s="322">
        <f t="shared" ref="I75:I79" si="23">SUM(J75:R75)</f>
        <v>0</v>
      </c>
      <c r="J75" s="421"/>
      <c r="K75" s="422"/>
      <c r="L75" s="423"/>
      <c r="M75" s="421"/>
      <c r="N75" s="422"/>
      <c r="O75" s="423"/>
      <c r="P75" s="421"/>
      <c r="Q75" s="422"/>
      <c r="R75" s="423"/>
      <c r="S75" s="421"/>
      <c r="T75" s="422"/>
      <c r="U75" s="423"/>
      <c r="V75" s="421"/>
      <c r="W75" s="422"/>
      <c r="X75" s="423"/>
      <c r="Y75" s="326"/>
      <c r="Z75" s="326"/>
      <c r="AB75" s="325"/>
      <c r="AC75" s="441"/>
    </row>
    <row r="76" spans="2:30">
      <c r="B76" s="319">
        <v>0.58333333333333304</v>
      </c>
      <c r="C76" s="320" t="s">
        <v>1191</v>
      </c>
      <c r="D76" s="321">
        <v>0.625</v>
      </c>
      <c r="E76" s="428"/>
      <c r="F76" s="320">
        <v>5</v>
      </c>
      <c r="G76" s="323">
        <f t="shared" si="22"/>
        <v>5</v>
      </c>
      <c r="H76" s="325"/>
      <c r="I76" s="322">
        <f t="shared" si="23"/>
        <v>0</v>
      </c>
      <c r="J76" s="421"/>
      <c r="K76" s="422"/>
      <c r="L76" s="423"/>
      <c r="M76" s="421"/>
      <c r="N76" s="422"/>
      <c r="O76" s="423"/>
      <c r="P76" s="421"/>
      <c r="Q76" s="422"/>
      <c r="R76" s="423"/>
      <c r="S76" s="421"/>
      <c r="T76" s="422"/>
      <c r="U76" s="423"/>
      <c r="V76" s="421"/>
      <c r="W76" s="422"/>
      <c r="X76" s="423"/>
      <c r="Y76" s="326"/>
      <c r="Z76" s="326"/>
      <c r="AB76" s="325"/>
      <c r="AC76" s="441"/>
    </row>
    <row r="77" spans="2:30">
      <c r="B77" s="319">
        <v>0.625</v>
      </c>
      <c r="C77" s="320" t="s">
        <v>1191</v>
      </c>
      <c r="D77" s="321">
        <v>0.66666666666666696</v>
      </c>
      <c r="E77" s="428"/>
      <c r="F77" s="320">
        <v>5</v>
      </c>
      <c r="G77" s="323">
        <f t="shared" si="22"/>
        <v>5</v>
      </c>
      <c r="H77" s="325"/>
      <c r="I77" s="322">
        <f t="shared" si="23"/>
        <v>0</v>
      </c>
      <c r="J77" s="421"/>
      <c r="K77" s="422"/>
      <c r="L77" s="423"/>
      <c r="M77" s="421"/>
      <c r="N77" s="422"/>
      <c r="O77" s="423"/>
      <c r="P77" s="421"/>
      <c r="Q77" s="422"/>
      <c r="R77" s="423"/>
      <c r="S77" s="421"/>
      <c r="T77" s="422"/>
      <c r="U77" s="423"/>
      <c r="V77" s="421"/>
      <c r="W77" s="422"/>
      <c r="X77" s="423"/>
      <c r="Y77" s="326"/>
      <c r="Z77" s="326"/>
      <c r="AB77" s="325"/>
      <c r="AC77" s="441"/>
    </row>
    <row r="78" spans="2:30">
      <c r="B78" s="319">
        <v>0.66666666666666696</v>
      </c>
      <c r="C78" s="320" t="s">
        <v>1191</v>
      </c>
      <c r="D78" s="321">
        <v>0.70833333333333404</v>
      </c>
      <c r="E78" s="428"/>
      <c r="F78" s="327">
        <v>0</v>
      </c>
      <c r="G78" s="328"/>
      <c r="H78" s="325"/>
      <c r="I78" s="329"/>
      <c r="J78" s="430" t="s">
        <v>1193</v>
      </c>
      <c r="K78" s="431"/>
      <c r="L78" s="431"/>
      <c r="M78" s="431"/>
      <c r="N78" s="431"/>
      <c r="O78" s="431"/>
      <c r="P78" s="431"/>
      <c r="Q78" s="431"/>
      <c r="R78" s="432"/>
      <c r="S78" s="424"/>
      <c r="T78" s="425"/>
      <c r="U78" s="426"/>
      <c r="V78" s="424"/>
      <c r="W78" s="425"/>
      <c r="X78" s="426"/>
      <c r="Y78" s="330"/>
      <c r="Z78" s="330"/>
      <c r="AB78" s="338"/>
      <c r="AC78" s="442"/>
    </row>
    <row r="79" spans="2:30">
      <c r="F79" s="326">
        <f>SUM(F71:F78)</f>
        <v>30</v>
      </c>
      <c r="G79" s="323">
        <f>SUM(G71:G78)</f>
        <v>30</v>
      </c>
      <c r="I79" s="326" t="s">
        <v>1201</v>
      </c>
      <c r="J79" s="436">
        <f>SUM(J75:L77,J71:L73)</f>
        <v>0</v>
      </c>
      <c r="K79" s="436"/>
      <c r="L79" s="436"/>
      <c r="M79" s="436">
        <f>SUM(M75:O77,M71:O73)</f>
        <v>0</v>
      </c>
      <c r="N79" s="436"/>
      <c r="O79" s="436"/>
      <c r="P79" s="436">
        <f>SUM(P75:R77,P71:R73)</f>
        <v>0</v>
      </c>
      <c r="Q79" s="436"/>
      <c r="R79" s="436"/>
      <c r="Z79" s="3"/>
      <c r="AA79" s="3"/>
      <c r="AC79" s="2"/>
      <c r="AD79" s="2"/>
    </row>
    <row r="81" spans="2:30">
      <c r="B81" s="335" t="s">
        <v>1183</v>
      </c>
      <c r="C81" s="335" t="s">
        <v>1240</v>
      </c>
      <c r="D81" s="336"/>
      <c r="E81" s="334" t="s">
        <v>3</v>
      </c>
      <c r="F81" s="125" t="s">
        <v>1198</v>
      </c>
      <c r="G81" s="163" t="s">
        <v>37</v>
      </c>
      <c r="H81" s="324"/>
      <c r="I81" s="125" t="s">
        <v>6</v>
      </c>
      <c r="J81" s="433" t="s">
        <v>7</v>
      </c>
      <c r="K81" s="434"/>
      <c r="L81" s="435"/>
      <c r="M81" s="341" t="s">
        <v>8</v>
      </c>
      <c r="N81" s="342"/>
      <c r="O81" s="344"/>
      <c r="P81" s="341" t="s">
        <v>9</v>
      </c>
      <c r="Q81" s="342"/>
      <c r="R81" s="343"/>
      <c r="S81" s="341"/>
      <c r="T81" s="342"/>
      <c r="U81" s="343"/>
      <c r="V81" s="341"/>
      <c r="W81" s="342"/>
      <c r="X81" s="343"/>
      <c r="Y81" s="304">
        <f>Y79</f>
        <v>0</v>
      </c>
      <c r="Z81" s="125">
        <f>Z79</f>
        <v>0</v>
      </c>
      <c r="AB81" s="337"/>
      <c r="AC81" s="440"/>
    </row>
    <row r="82" spans="2:30">
      <c r="B82" s="319">
        <v>0.375</v>
      </c>
      <c r="C82" s="320" t="s">
        <v>1191</v>
      </c>
      <c r="D82" s="321">
        <v>0.41666666666666669</v>
      </c>
      <c r="E82" s="428" t="s">
        <v>684</v>
      </c>
      <c r="F82" s="320">
        <v>5</v>
      </c>
      <c r="G82" s="323">
        <f>F82-I82</f>
        <v>5</v>
      </c>
      <c r="H82" s="325"/>
      <c r="I82" s="322">
        <f t="shared" ref="I82:I88" si="24">SUM(J82:R82)</f>
        <v>0</v>
      </c>
      <c r="J82" s="421"/>
      <c r="K82" s="422"/>
      <c r="L82" s="423"/>
      <c r="M82" s="421"/>
      <c r="N82" s="422"/>
      <c r="O82" s="423"/>
      <c r="P82" s="421"/>
      <c r="Q82" s="422"/>
      <c r="R82" s="423"/>
      <c r="S82" s="421"/>
      <c r="T82" s="422"/>
      <c r="U82" s="423"/>
      <c r="V82" s="421"/>
      <c r="W82" s="422"/>
      <c r="X82" s="423"/>
      <c r="Y82" s="326"/>
      <c r="Z82" s="326"/>
      <c r="AB82" s="325"/>
      <c r="AC82" s="441"/>
    </row>
    <row r="83" spans="2:30">
      <c r="B83" s="319">
        <v>0.41666666666666669</v>
      </c>
      <c r="C83" s="320" t="s">
        <v>1191</v>
      </c>
      <c r="D83" s="321">
        <v>0.45833333333333331</v>
      </c>
      <c r="E83" s="428"/>
      <c r="F83" s="320">
        <v>5</v>
      </c>
      <c r="G83" s="323">
        <f t="shared" ref="G83:G88" si="25">F83-I83</f>
        <v>5</v>
      </c>
      <c r="H83" s="325"/>
      <c r="I83" s="322">
        <f t="shared" si="24"/>
        <v>0</v>
      </c>
      <c r="J83" s="421"/>
      <c r="K83" s="422"/>
      <c r="L83" s="423"/>
      <c r="M83" s="421"/>
      <c r="N83" s="422"/>
      <c r="O83" s="423"/>
      <c r="P83" s="421"/>
      <c r="Q83" s="422"/>
      <c r="R83" s="423"/>
      <c r="S83" s="421"/>
      <c r="T83" s="422"/>
      <c r="U83" s="423"/>
      <c r="V83" s="421"/>
      <c r="W83" s="422"/>
      <c r="X83" s="423"/>
      <c r="Y83" s="326"/>
      <c r="Z83" s="326"/>
      <c r="AB83" s="325"/>
      <c r="AC83" s="441"/>
    </row>
    <row r="84" spans="2:30">
      <c r="B84" s="319">
        <v>0.45833333333333298</v>
      </c>
      <c r="C84" s="320" t="s">
        <v>1191</v>
      </c>
      <c r="D84" s="321">
        <v>0.5</v>
      </c>
      <c r="E84" s="428"/>
      <c r="F84" s="320">
        <v>5</v>
      </c>
      <c r="G84" s="323">
        <f t="shared" si="25"/>
        <v>5</v>
      </c>
      <c r="H84" s="325"/>
      <c r="I84" s="322">
        <f t="shared" si="24"/>
        <v>0</v>
      </c>
      <c r="J84" s="421"/>
      <c r="K84" s="422"/>
      <c r="L84" s="423"/>
      <c r="M84" s="421"/>
      <c r="N84" s="422"/>
      <c r="O84" s="423"/>
      <c r="P84" s="421"/>
      <c r="Q84" s="422"/>
      <c r="R84" s="423"/>
      <c r="S84" s="421"/>
      <c r="T84" s="422"/>
      <c r="U84" s="423"/>
      <c r="V84" s="421"/>
      <c r="W84" s="422"/>
      <c r="X84" s="423"/>
      <c r="Y84" s="326"/>
      <c r="Z84" s="326"/>
      <c r="AB84" s="325"/>
      <c r="AC84" s="441"/>
    </row>
    <row r="85" spans="2:30">
      <c r="B85" s="319">
        <v>0.5</v>
      </c>
      <c r="C85" s="320" t="s">
        <v>1191</v>
      </c>
      <c r="D85" s="321">
        <v>0.54166666666666696</v>
      </c>
      <c r="E85" s="428"/>
      <c r="F85" s="327"/>
      <c r="G85" s="328"/>
      <c r="H85" s="325"/>
      <c r="I85" s="329"/>
      <c r="J85" s="430" t="s">
        <v>1192</v>
      </c>
      <c r="K85" s="431"/>
      <c r="L85" s="431"/>
      <c r="M85" s="431"/>
      <c r="N85" s="431"/>
      <c r="O85" s="431"/>
      <c r="P85" s="431"/>
      <c r="Q85" s="431"/>
      <c r="R85" s="432"/>
      <c r="S85" s="424"/>
      <c r="T85" s="425"/>
      <c r="U85" s="426"/>
      <c r="V85" s="424"/>
      <c r="W85" s="425"/>
      <c r="X85" s="426"/>
      <c r="Y85" s="330"/>
      <c r="Z85" s="330"/>
      <c r="AB85" s="325"/>
      <c r="AC85" s="441"/>
    </row>
    <row r="86" spans="2:30">
      <c r="B86" s="319">
        <v>0.54166666666666696</v>
      </c>
      <c r="C86" s="320" t="s">
        <v>1191</v>
      </c>
      <c r="D86" s="321">
        <v>0.58333333333333404</v>
      </c>
      <c r="E86" s="428"/>
      <c r="F86" s="320">
        <v>5</v>
      </c>
      <c r="G86" s="323">
        <f t="shared" ref="G86:G90" si="26">F86-I86</f>
        <v>5</v>
      </c>
      <c r="H86" s="325"/>
      <c r="I86" s="322">
        <f t="shared" ref="I86:I90" si="27">SUM(J86:R86)</f>
        <v>0</v>
      </c>
      <c r="J86" s="421"/>
      <c r="K86" s="422"/>
      <c r="L86" s="423"/>
      <c r="M86" s="421"/>
      <c r="N86" s="422"/>
      <c r="O86" s="423"/>
      <c r="P86" s="421"/>
      <c r="Q86" s="422"/>
      <c r="R86" s="423"/>
      <c r="S86" s="421"/>
      <c r="T86" s="422"/>
      <c r="U86" s="423"/>
      <c r="V86" s="421"/>
      <c r="W86" s="422"/>
      <c r="X86" s="423"/>
      <c r="Y86" s="326"/>
      <c r="Z86" s="326"/>
      <c r="AB86" s="325"/>
      <c r="AC86" s="441"/>
    </row>
    <row r="87" spans="2:30">
      <c r="B87" s="319">
        <v>0.58333333333333304</v>
      </c>
      <c r="C87" s="320" t="s">
        <v>1191</v>
      </c>
      <c r="D87" s="321">
        <v>0.625</v>
      </c>
      <c r="E87" s="428"/>
      <c r="F87" s="320">
        <v>5</v>
      </c>
      <c r="G87" s="323">
        <f t="shared" si="26"/>
        <v>5</v>
      </c>
      <c r="H87" s="325"/>
      <c r="I87" s="322">
        <f t="shared" si="27"/>
        <v>0</v>
      </c>
      <c r="J87" s="421"/>
      <c r="K87" s="422"/>
      <c r="L87" s="423"/>
      <c r="M87" s="421"/>
      <c r="N87" s="422"/>
      <c r="O87" s="423"/>
      <c r="P87" s="421"/>
      <c r="Q87" s="422"/>
      <c r="R87" s="423"/>
      <c r="S87" s="421"/>
      <c r="T87" s="422"/>
      <c r="U87" s="423"/>
      <c r="V87" s="421"/>
      <c r="W87" s="422"/>
      <c r="X87" s="423"/>
      <c r="Y87" s="326"/>
      <c r="Z87" s="326"/>
      <c r="AB87" s="325"/>
      <c r="AC87" s="441"/>
    </row>
    <row r="88" spans="2:30">
      <c r="B88" s="319">
        <v>0.625</v>
      </c>
      <c r="C88" s="320" t="s">
        <v>1191</v>
      </c>
      <c r="D88" s="321">
        <v>0.66666666666666696</v>
      </c>
      <c r="E88" s="428"/>
      <c r="F88" s="320">
        <v>5</v>
      </c>
      <c r="G88" s="323">
        <f t="shared" si="26"/>
        <v>5</v>
      </c>
      <c r="H88" s="325"/>
      <c r="I88" s="322">
        <f t="shared" si="27"/>
        <v>0</v>
      </c>
      <c r="J88" s="421"/>
      <c r="K88" s="422"/>
      <c r="L88" s="423"/>
      <c r="M88" s="421"/>
      <c r="N88" s="422"/>
      <c r="O88" s="423"/>
      <c r="P88" s="421"/>
      <c r="Q88" s="422"/>
      <c r="R88" s="423"/>
      <c r="S88" s="421"/>
      <c r="T88" s="422"/>
      <c r="U88" s="423"/>
      <c r="V88" s="421"/>
      <c r="W88" s="422"/>
      <c r="X88" s="423"/>
      <c r="Y88" s="326"/>
      <c r="Z88" s="326"/>
      <c r="AB88" s="325"/>
      <c r="AC88" s="441"/>
    </row>
    <row r="89" spans="2:30">
      <c r="B89" s="319">
        <v>0.66666666666666696</v>
      </c>
      <c r="C89" s="320" t="s">
        <v>1191</v>
      </c>
      <c r="D89" s="321">
        <v>0.70833333333333404</v>
      </c>
      <c r="E89" s="428"/>
      <c r="F89" s="327">
        <v>0</v>
      </c>
      <c r="G89" s="328"/>
      <c r="H89" s="325"/>
      <c r="I89" s="329"/>
      <c r="J89" s="430" t="s">
        <v>1193</v>
      </c>
      <c r="K89" s="431"/>
      <c r="L89" s="431"/>
      <c r="M89" s="431"/>
      <c r="N89" s="431"/>
      <c r="O89" s="431"/>
      <c r="P89" s="431"/>
      <c r="Q89" s="431"/>
      <c r="R89" s="432"/>
      <c r="S89" s="424"/>
      <c r="T89" s="425"/>
      <c r="U89" s="426"/>
      <c r="V89" s="424"/>
      <c r="W89" s="425"/>
      <c r="X89" s="426"/>
      <c r="Y89" s="330"/>
      <c r="Z89" s="330"/>
      <c r="AB89" s="338"/>
      <c r="AC89" s="442"/>
    </row>
    <row r="90" spans="2:30">
      <c r="F90" s="326">
        <f>SUM(F82:F89)</f>
        <v>30</v>
      </c>
      <c r="G90" s="323">
        <f>SUM(G82:G89)</f>
        <v>30</v>
      </c>
      <c r="I90" s="326" t="s">
        <v>1201</v>
      </c>
      <c r="J90" s="436">
        <f>SUM(J86:L88,J82:L84)</f>
        <v>0</v>
      </c>
      <c r="K90" s="436"/>
      <c r="L90" s="436"/>
      <c r="M90" s="436">
        <f>SUM(M86:O88,M82:O84)</f>
        <v>0</v>
      </c>
      <c r="N90" s="436"/>
      <c r="O90" s="436"/>
      <c r="P90" s="436">
        <f>SUM(P86:R88,P82:R84)</f>
        <v>0</v>
      </c>
      <c r="Q90" s="436"/>
      <c r="R90" s="436"/>
      <c r="Z90" s="3"/>
      <c r="AA90" s="3"/>
      <c r="AC90" s="2"/>
      <c r="AD90" s="2"/>
    </row>
  </sheetData>
  <mergeCells count="313">
    <mergeCell ref="J88:L88"/>
    <mergeCell ref="M88:O88"/>
    <mergeCell ref="P88:R88"/>
    <mergeCell ref="S88:U88"/>
    <mergeCell ref="V88:X88"/>
    <mergeCell ref="J89:R89"/>
    <mergeCell ref="S89:U89"/>
    <mergeCell ref="V89:X89"/>
    <mergeCell ref="J90:L90"/>
    <mergeCell ref="M90:O90"/>
    <mergeCell ref="P90:R90"/>
    <mergeCell ref="V85:X85"/>
    <mergeCell ref="J86:L86"/>
    <mergeCell ref="M86:O86"/>
    <mergeCell ref="P86:R86"/>
    <mergeCell ref="S86:U86"/>
    <mergeCell ref="V86:X86"/>
    <mergeCell ref="J87:L87"/>
    <mergeCell ref="M87:O87"/>
    <mergeCell ref="P87:R87"/>
    <mergeCell ref="S87:U87"/>
    <mergeCell ref="V87:X87"/>
    <mergeCell ref="J81:L81"/>
    <mergeCell ref="M81:O81"/>
    <mergeCell ref="P81:R81"/>
    <mergeCell ref="S81:U81"/>
    <mergeCell ref="V81:X81"/>
    <mergeCell ref="AC81:AC89"/>
    <mergeCell ref="E82:E89"/>
    <mergeCell ref="J82:L82"/>
    <mergeCell ref="M82:O82"/>
    <mergeCell ref="P82:R82"/>
    <mergeCell ref="S82:U82"/>
    <mergeCell ref="V82:X82"/>
    <mergeCell ref="J83:L83"/>
    <mergeCell ref="M83:O83"/>
    <mergeCell ref="P83:R83"/>
    <mergeCell ref="S83:U83"/>
    <mergeCell ref="V83:X83"/>
    <mergeCell ref="J84:L84"/>
    <mergeCell ref="M84:O84"/>
    <mergeCell ref="P84:R84"/>
    <mergeCell ref="S84:U84"/>
    <mergeCell ref="V84:X84"/>
    <mergeCell ref="J85:R85"/>
    <mergeCell ref="S85:U85"/>
    <mergeCell ref="J77:L77"/>
    <mergeCell ref="M77:O77"/>
    <mergeCell ref="P77:R77"/>
    <mergeCell ref="S77:U77"/>
    <mergeCell ref="V77:X77"/>
    <mergeCell ref="J78:R78"/>
    <mergeCell ref="S78:U78"/>
    <mergeCell ref="V78:X78"/>
    <mergeCell ref="J79:L79"/>
    <mergeCell ref="M79:O79"/>
    <mergeCell ref="P79:R79"/>
    <mergeCell ref="V74:X74"/>
    <mergeCell ref="J75:L75"/>
    <mergeCell ref="M75:O75"/>
    <mergeCell ref="P75:R75"/>
    <mergeCell ref="S75:U75"/>
    <mergeCell ref="V75:X75"/>
    <mergeCell ref="J76:L76"/>
    <mergeCell ref="M76:O76"/>
    <mergeCell ref="P76:R76"/>
    <mergeCell ref="S76:U76"/>
    <mergeCell ref="V76:X76"/>
    <mergeCell ref="J70:L70"/>
    <mergeCell ref="M70:O70"/>
    <mergeCell ref="P70:R70"/>
    <mergeCell ref="S70:U70"/>
    <mergeCell ref="V70:X70"/>
    <mergeCell ref="AC70:AC78"/>
    <mergeCell ref="E71:E78"/>
    <mergeCell ref="J71:L71"/>
    <mergeCell ref="M71:O71"/>
    <mergeCell ref="P71:R71"/>
    <mergeCell ref="S71:U71"/>
    <mergeCell ref="V71:X71"/>
    <mergeCell ref="J72:L72"/>
    <mergeCell ref="M72:O72"/>
    <mergeCell ref="P72:R72"/>
    <mergeCell ref="S72:U72"/>
    <mergeCell ref="V72:X72"/>
    <mergeCell ref="J73:L73"/>
    <mergeCell ref="M73:O73"/>
    <mergeCell ref="P73:R73"/>
    <mergeCell ref="S73:U73"/>
    <mergeCell ref="V73:X73"/>
    <mergeCell ref="J74:R74"/>
    <mergeCell ref="S74:U74"/>
    <mergeCell ref="V56:X56"/>
    <mergeCell ref="V55:X55"/>
    <mergeCell ref="S56:U56"/>
    <mergeCell ref="S55:U55"/>
    <mergeCell ref="P56:R56"/>
    <mergeCell ref="P55:R55"/>
    <mergeCell ref="M56:O56"/>
    <mergeCell ref="M55:O55"/>
    <mergeCell ref="J56:L56"/>
    <mergeCell ref="J55:L55"/>
    <mergeCell ref="AC59:AC67"/>
    <mergeCell ref="J68:L68"/>
    <mergeCell ref="M68:O68"/>
    <mergeCell ref="P68:R68"/>
    <mergeCell ref="J66:L66"/>
    <mergeCell ref="M66:O66"/>
    <mergeCell ref="P66:R66"/>
    <mergeCell ref="J67:R67"/>
    <mergeCell ref="J62:L62"/>
    <mergeCell ref="M62:O62"/>
    <mergeCell ref="P62:R62"/>
    <mergeCell ref="J63:R63"/>
    <mergeCell ref="J64:L64"/>
    <mergeCell ref="M64:O64"/>
    <mergeCell ref="P64:R64"/>
    <mergeCell ref="J65:L65"/>
    <mergeCell ref="M65:O65"/>
    <mergeCell ref="P65:R65"/>
    <mergeCell ref="S66:U66"/>
    <mergeCell ref="S67:U67"/>
    <mergeCell ref="V59:X59"/>
    <mergeCell ref="V60:X60"/>
    <mergeCell ref="V61:X61"/>
    <mergeCell ref="V62:X62"/>
    <mergeCell ref="N5:O5"/>
    <mergeCell ref="Q6:R6"/>
    <mergeCell ref="B22:B25"/>
    <mergeCell ref="J26:L26"/>
    <mergeCell ref="M26:O26"/>
    <mergeCell ref="P26:R26"/>
    <mergeCell ref="V26:X26"/>
    <mergeCell ref="B28:B30"/>
    <mergeCell ref="M33:O33"/>
    <mergeCell ref="P33:R33"/>
    <mergeCell ref="V33:X33"/>
    <mergeCell ref="B31:B35"/>
    <mergeCell ref="J31:L31"/>
    <mergeCell ref="M31:O31"/>
    <mergeCell ref="P31:R31"/>
    <mergeCell ref="V31:X31"/>
    <mergeCell ref="J32:L32"/>
    <mergeCell ref="M32:O32"/>
    <mergeCell ref="P32:R32"/>
    <mergeCell ref="V32:X32"/>
    <mergeCell ref="J33:L33"/>
    <mergeCell ref="J35:L35"/>
    <mergeCell ref="M35:O35"/>
    <mergeCell ref="P35:R35"/>
    <mergeCell ref="J34:L34"/>
    <mergeCell ref="M34:O34"/>
    <mergeCell ref="P34:R34"/>
    <mergeCell ref="J3:L3"/>
    <mergeCell ref="M3:O3"/>
    <mergeCell ref="P3:R3"/>
    <mergeCell ref="V3:X3"/>
    <mergeCell ref="B6:B12"/>
    <mergeCell ref="B14:B20"/>
    <mergeCell ref="N6:O6"/>
    <mergeCell ref="N7:O7"/>
    <mergeCell ref="N8:O8"/>
    <mergeCell ref="Q5:R5"/>
    <mergeCell ref="W5:X5"/>
    <mergeCell ref="W6:X6"/>
    <mergeCell ref="W7:X7"/>
    <mergeCell ref="W8:X8"/>
    <mergeCell ref="Q7:R7"/>
    <mergeCell ref="Q8:R8"/>
    <mergeCell ref="T5:U5"/>
    <mergeCell ref="T6:U6"/>
    <mergeCell ref="K8:L8"/>
    <mergeCell ref="K7:L7"/>
    <mergeCell ref="K6:L6"/>
    <mergeCell ref="B36:B37"/>
    <mergeCell ref="J36:L36"/>
    <mergeCell ref="M36:O36"/>
    <mergeCell ref="P36:R36"/>
    <mergeCell ref="V36:X36"/>
    <mergeCell ref="J37:L37"/>
    <mergeCell ref="M37:O37"/>
    <mergeCell ref="P37:R37"/>
    <mergeCell ref="S42:U42"/>
    <mergeCell ref="V40:X40"/>
    <mergeCell ref="J38:L38"/>
    <mergeCell ref="M38:O38"/>
    <mergeCell ref="P38:R38"/>
    <mergeCell ref="V38:X38"/>
    <mergeCell ref="S38:U38"/>
    <mergeCell ref="S39:U39"/>
    <mergeCell ref="S40:U40"/>
    <mergeCell ref="S41:U41"/>
    <mergeCell ref="B46:B48"/>
    <mergeCell ref="J46:L46"/>
    <mergeCell ref="B49:B50"/>
    <mergeCell ref="B39:B45"/>
    <mergeCell ref="J39:L39"/>
    <mergeCell ref="M39:O39"/>
    <mergeCell ref="P39:R39"/>
    <mergeCell ref="J40:L40"/>
    <mergeCell ref="M40:O40"/>
    <mergeCell ref="P40:R40"/>
    <mergeCell ref="J41:L41"/>
    <mergeCell ref="P45:R45"/>
    <mergeCell ref="J45:L45"/>
    <mergeCell ref="M45:O45"/>
    <mergeCell ref="M41:O41"/>
    <mergeCell ref="P41:R41"/>
    <mergeCell ref="J42:L42"/>
    <mergeCell ref="M42:O42"/>
    <mergeCell ref="P42:R42"/>
    <mergeCell ref="M43:O43"/>
    <mergeCell ref="P43:R43"/>
    <mergeCell ref="J44:L44"/>
    <mergeCell ref="M44:O44"/>
    <mergeCell ref="P44:R44"/>
    <mergeCell ref="B51:B52"/>
    <mergeCell ref="J51:L51"/>
    <mergeCell ref="M51:O51"/>
    <mergeCell ref="P51:R51"/>
    <mergeCell ref="V51:X51"/>
    <mergeCell ref="J52:L52"/>
    <mergeCell ref="M52:O52"/>
    <mergeCell ref="P52:R52"/>
    <mergeCell ref="V52:X52"/>
    <mergeCell ref="S51:U51"/>
    <mergeCell ref="S52:U52"/>
    <mergeCell ref="K5:L5"/>
    <mergeCell ref="V45:X45"/>
    <mergeCell ref="V41:X41"/>
    <mergeCell ref="V42:X42"/>
    <mergeCell ref="J54:L54"/>
    <mergeCell ref="M54:O54"/>
    <mergeCell ref="P54:R54"/>
    <mergeCell ref="V54:X54"/>
    <mergeCell ref="M47:O47"/>
    <mergeCell ref="P47:R47"/>
    <mergeCell ref="V47:X47"/>
    <mergeCell ref="J48:L48"/>
    <mergeCell ref="M48:O48"/>
    <mergeCell ref="P48:R48"/>
    <mergeCell ref="V48:X48"/>
    <mergeCell ref="J49:L49"/>
    <mergeCell ref="M49:O49"/>
    <mergeCell ref="P49:R49"/>
    <mergeCell ref="V49:X49"/>
    <mergeCell ref="J50:L50"/>
    <mergeCell ref="M50:O50"/>
    <mergeCell ref="J53:L53"/>
    <mergeCell ref="M53:O53"/>
    <mergeCell ref="P53:R53"/>
    <mergeCell ref="V57:X57"/>
    <mergeCell ref="S3:U3"/>
    <mergeCell ref="S26:U26"/>
    <mergeCell ref="S31:U31"/>
    <mergeCell ref="S32:U32"/>
    <mergeCell ref="S33:U33"/>
    <mergeCell ref="S35:U35"/>
    <mergeCell ref="V37:X37"/>
    <mergeCell ref="T7:U7"/>
    <mergeCell ref="T8:U8"/>
    <mergeCell ref="S54:U54"/>
    <mergeCell ref="S57:U57"/>
    <mergeCell ref="S49:U49"/>
    <mergeCell ref="S50:U50"/>
    <mergeCell ref="V50:X50"/>
    <mergeCell ref="V46:X46"/>
    <mergeCell ref="V43:X43"/>
    <mergeCell ref="V39:X39"/>
    <mergeCell ref="S44:U44"/>
    <mergeCell ref="V44:X44"/>
    <mergeCell ref="S43:U43"/>
    <mergeCell ref="V35:X35"/>
    <mergeCell ref="S36:U36"/>
    <mergeCell ref="S37:U37"/>
    <mergeCell ref="M46:O46"/>
    <mergeCell ref="P46:R46"/>
    <mergeCell ref="J47:L47"/>
    <mergeCell ref="J43:L43"/>
    <mergeCell ref="M59:O59"/>
    <mergeCell ref="P59:R59"/>
    <mergeCell ref="J60:L60"/>
    <mergeCell ref="M60:O60"/>
    <mergeCell ref="S64:U64"/>
    <mergeCell ref="S45:U45"/>
    <mergeCell ref="S46:U46"/>
    <mergeCell ref="S47:U47"/>
    <mergeCell ref="S48:U48"/>
    <mergeCell ref="P50:R50"/>
    <mergeCell ref="S65:U65"/>
    <mergeCell ref="V63:X63"/>
    <mergeCell ref="V64:X64"/>
    <mergeCell ref="V65:X65"/>
    <mergeCell ref="V66:X66"/>
    <mergeCell ref="V67:X67"/>
    <mergeCell ref="S53:U53"/>
    <mergeCell ref="V53:X53"/>
    <mergeCell ref="B53:B54"/>
    <mergeCell ref="B55:B56"/>
    <mergeCell ref="S59:U59"/>
    <mergeCell ref="S60:U60"/>
    <mergeCell ref="S61:U61"/>
    <mergeCell ref="S62:U62"/>
    <mergeCell ref="S63:U63"/>
    <mergeCell ref="J57:L57"/>
    <mergeCell ref="M57:O57"/>
    <mergeCell ref="P57:R57"/>
    <mergeCell ref="P60:R60"/>
    <mergeCell ref="J61:L61"/>
    <mergeCell ref="M61:O61"/>
    <mergeCell ref="P61:R61"/>
    <mergeCell ref="E60:E67"/>
    <mergeCell ref="J59:L59"/>
  </mergeCells>
  <phoneticPr fontId="3"/>
  <conditionalFormatting sqref="G28:G33 G22:G23 G6:G12 G14:G20 G25:G26 G35 G49:G56">
    <cfRule type="cellIs" dxfId="13" priority="15" stopIfTrue="1" operator="lessThanOrEqual">
      <formula>3</formula>
    </cfRule>
  </conditionalFormatting>
  <conditionalFormatting sqref="G24">
    <cfRule type="cellIs" dxfId="12" priority="14" stopIfTrue="1" operator="lessThanOrEqual">
      <formula>3</formula>
    </cfRule>
  </conditionalFormatting>
  <conditionalFormatting sqref="G34">
    <cfRule type="cellIs" dxfId="11" priority="13" stopIfTrue="1" operator="lessThanOrEqual">
      <formula>3</formula>
    </cfRule>
  </conditionalFormatting>
  <conditionalFormatting sqref="G39">
    <cfRule type="cellIs" dxfId="10" priority="12" stopIfTrue="1" operator="lessThanOrEqual">
      <formula>3</formula>
    </cfRule>
  </conditionalFormatting>
  <conditionalFormatting sqref="G36:G37">
    <cfRule type="cellIs" dxfId="9" priority="11" stopIfTrue="1" operator="lessThanOrEqual">
      <formula>3</formula>
    </cfRule>
  </conditionalFormatting>
  <conditionalFormatting sqref="G44:G45">
    <cfRule type="cellIs" dxfId="8" priority="10" stopIfTrue="1" operator="lessThanOrEqual">
      <formula>3</formula>
    </cfRule>
  </conditionalFormatting>
  <conditionalFormatting sqref="G46 G48">
    <cfRule type="cellIs" dxfId="7" priority="9" stopIfTrue="1" operator="lessThanOrEqual">
      <formula>3</formula>
    </cfRule>
  </conditionalFormatting>
  <conditionalFormatting sqref="G41:G42">
    <cfRule type="cellIs" dxfId="6" priority="8" stopIfTrue="1" operator="lessThanOrEqual">
      <formula>3</formula>
    </cfRule>
  </conditionalFormatting>
  <conditionalFormatting sqref="G47">
    <cfRule type="cellIs" dxfId="5" priority="7" stopIfTrue="1" operator="lessThanOrEqual">
      <formula>3</formula>
    </cfRule>
  </conditionalFormatting>
  <conditionalFormatting sqref="G40">
    <cfRule type="cellIs" dxfId="4" priority="6" stopIfTrue="1" operator="lessThanOrEqual">
      <formula>3</formula>
    </cfRule>
  </conditionalFormatting>
  <conditionalFormatting sqref="G43">
    <cfRule type="cellIs" dxfId="3" priority="5" stopIfTrue="1" operator="lessThanOrEqual">
      <formula>3</formula>
    </cfRule>
  </conditionalFormatting>
  <conditionalFormatting sqref="G60:G62 G64:G66">
    <cfRule type="cellIs" dxfId="2" priority="3" operator="lessThan">
      <formula>2</formula>
    </cfRule>
  </conditionalFormatting>
  <conditionalFormatting sqref="G71:G73 G75:G77">
    <cfRule type="cellIs" dxfId="1" priority="2" operator="lessThan">
      <formula>2</formula>
    </cfRule>
  </conditionalFormatting>
  <conditionalFormatting sqref="G82:G84 G86:G88">
    <cfRule type="cellIs" dxfId="0" priority="1" operator="lessThan">
      <formula>2</formula>
    </cfRule>
  </conditionalFormatting>
  <pageMargins left="0.49" right="0.24" top="0.28999999999999998" bottom="0.24" header="0.23" footer="0.2"/>
  <pageSetup paperSize="9" scale="61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R02予約</vt:lpstr>
      <vt:lpstr>R02記入履歴</vt:lpstr>
      <vt:lpstr>R03予約</vt:lpstr>
      <vt:lpstr>R03記入履歴</vt:lpstr>
      <vt:lpstr>R04予約</vt:lpstr>
      <vt:lpstr>R04記入履歴</vt:lpstr>
      <vt:lpstr>R05予約</vt:lpstr>
      <vt:lpstr>R05記入履歴</vt:lpstr>
      <vt:lpstr>R06予約</vt:lpstr>
      <vt:lpstr>R06記入履歴</vt:lpstr>
      <vt:lpstr>設定注意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</dc:creator>
  <cp:lastModifiedBy>直生 市川</cp:lastModifiedBy>
  <cp:lastPrinted>2024-01-10T04:17:59Z</cp:lastPrinted>
  <dcterms:created xsi:type="dcterms:W3CDTF">2015-06-05T18:19:34Z</dcterms:created>
  <dcterms:modified xsi:type="dcterms:W3CDTF">2024-03-29T07:59:26Z</dcterms:modified>
</cp:coreProperties>
</file>